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akub Rutkowski\Desktop\"/>
    </mc:Choice>
  </mc:AlternateContent>
  <xr:revisionPtr revIDLastSave="0" documentId="13_ncr:1_{FDD41D7B-0563-4DE1-B80F-72258453D40C}" xr6:coauthVersionLast="47" xr6:coauthVersionMax="47" xr10:uidLastSave="{00000000-0000-0000-0000-000000000000}"/>
  <workbookProtection workbookAlgorithmName="SHA-512" workbookHashValue="sQpK0mHx8nxrguSKRaS71UcvwPzs9TuloZLN1NF6q9vFsHwwSaq2yY7h2oAaimyRGc6ZbTyNsMaO3sJTtxr02g==" workbookSaltValue="TRw6ecP6GQ+JGgGjhtu7Ug==" workbookSpinCount="100000" lockStructure="1"/>
  <bookViews>
    <workbookView xWindow="28680" yWindow="-120" windowWidth="29040" windowHeight="15840" xr2:uid="{00000000-000D-0000-FFFF-FFFF00000000}"/>
  </bookViews>
  <sheets>
    <sheet name="Kalkulator" sheetId="3" r:id="rId1"/>
    <sheet name="Raty kredytowe" sheetId="7" r:id="rId2"/>
    <sheet name="Kredyt" sheetId="6" state="hidden" r:id="rId3"/>
    <sheet name="Baza" sheetId="1" state="hidden" r:id="rId4"/>
    <sheet name="Obliczenia" sheetId="2" state="hidden" r:id="rId5"/>
    <sheet name="Arkusz1" sheetId="8" state="hidden" r:id="rId6"/>
  </sheets>
  <definedNames>
    <definedName name="_xlnm.Print_Area" localSheetId="0">Kalkulator!$A$1:$I$39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2" l="1"/>
  <c r="C24" i="2" s="1"/>
  <c r="P3" i="8"/>
  <c r="Q3" i="8" s="1" a="1"/>
  <c r="Q3" i="8" s="1"/>
  <c r="M3" i="8" l="1"/>
  <c r="N3" i="8" s="1" a="1"/>
  <c r="N3" i="8" s="1"/>
  <c r="E14" i="3" s="1"/>
  <c r="E16" i="3" s="1"/>
  <c r="N3" i="2"/>
  <c r="B27" i="2" l="1"/>
  <c r="B23" i="2"/>
  <c r="B33" i="2" a="1"/>
  <c r="B33" i="2" s="1"/>
  <c r="B20" i="2"/>
  <c r="A1" i="2"/>
  <c r="B30" i="2" s="1" a="1"/>
  <c r="B30" i="2" s="1"/>
  <c r="C30" i="2" s="1"/>
  <c r="B21" i="2"/>
  <c r="B22" i="2"/>
  <c r="C22" i="2" s="1"/>
  <c r="B25" i="2"/>
  <c r="C25" i="2" s="1"/>
  <c r="B26" i="2"/>
  <c r="C7" i="2" a="1"/>
  <c r="C7" i="2" s="1"/>
  <c r="C6" i="2" a="1"/>
  <c r="C6" i="2" s="1"/>
  <c r="C5" i="2" a="1"/>
  <c r="C5" i="2" s="1"/>
  <c r="C3" i="2" a="1"/>
  <c r="C3" i="2" s="1"/>
  <c r="B3" i="2"/>
  <c r="D1" i="2"/>
  <c r="J3" i="6"/>
  <c r="K3" i="6" s="1"/>
  <c r="J2" i="6"/>
  <c r="F3" i="6"/>
  <c r="G12" i="7" s="1"/>
  <c r="F2" i="6"/>
  <c r="D12" i="7" s="1"/>
  <c r="I3" i="6"/>
  <c r="I2" i="6"/>
  <c r="B35" i="2"/>
  <c r="C35" i="2" s="1"/>
  <c r="C21" i="2" l="1"/>
  <c r="C33" i="2"/>
  <c r="B29" i="2" a="1"/>
  <c r="B29" i="2" s="1"/>
  <c r="C29" i="2" s="1"/>
  <c r="K2" i="6"/>
  <c r="D10" i="7"/>
  <c r="G10" i="7"/>
  <c r="E1" i="2" l="1"/>
  <c r="B2" i="2"/>
  <c r="O4" i="2" s="1"/>
  <c r="O3" i="2" l="1" a="1"/>
  <c r="O3" i="2" s="1"/>
  <c r="C27" i="2"/>
  <c r="B4" i="2" a="1"/>
  <c r="B4" i="2" s="1"/>
  <c r="C4" i="2" s="1"/>
  <c r="C23" i="2"/>
  <c r="C26" i="2"/>
  <c r="D30" i="2" l="1"/>
  <c r="C2" i="2" s="1"/>
  <c r="I4" i="2"/>
  <c r="I3" i="2" l="1"/>
  <c r="D32" i="3"/>
  <c r="D33" i="3" s="1"/>
  <c r="F28" i="3" s="1"/>
  <c r="G30" i="3" l="1"/>
  <c r="D34" i="3" s="1"/>
  <c r="E2" i="6" l="1"/>
  <c r="E3" i="6"/>
  <c r="G11" i="7" l="1"/>
  <c r="G3" i="6"/>
  <c r="G2" i="6"/>
  <c r="D11" i="7"/>
  <c r="L2" i="6" l="1"/>
  <c r="M2" i="6" s="1"/>
  <c r="D15" i="7" s="1"/>
  <c r="D13" i="7"/>
  <c r="G13" i="7"/>
  <c r="L3" i="6"/>
  <c r="M3" i="6" s="1"/>
  <c r="G15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<sst xmlns="http://schemas.openxmlformats.org/spreadsheetml/2006/main" count="187" uniqueCount="114">
  <si>
    <t>Elektryka</t>
  </si>
  <si>
    <t>Montaż</t>
  </si>
  <si>
    <t>Koszty dodatkowe</t>
  </si>
  <si>
    <t>Nazwa</t>
  </si>
  <si>
    <t>Cena netto/moduł [zł]</t>
  </si>
  <si>
    <t>BTS 5K Sofar</t>
  </si>
  <si>
    <t>Rodzaj instalacji</t>
  </si>
  <si>
    <t>Rodzaj kostrukcji</t>
  </si>
  <si>
    <t>Eco Wakacje</t>
  </si>
  <si>
    <t>Marża EcoRun</t>
  </si>
  <si>
    <t xml:space="preserve">Marża SupremeEnergy </t>
  </si>
  <si>
    <t>Pakiet</t>
  </si>
  <si>
    <t>Skarbonka</t>
  </si>
  <si>
    <t>Narzut dodany przez handlowca:</t>
  </si>
  <si>
    <t>                                                                                                                                             </t>
  </si>
  <si>
    <t>Cena jednostkowa</t>
  </si>
  <si>
    <t>Cena dla instalacji</t>
  </si>
  <si>
    <t>moc [kWp]</t>
  </si>
  <si>
    <t>TAK</t>
  </si>
  <si>
    <t>NIE</t>
  </si>
  <si>
    <t>Marża</t>
  </si>
  <si>
    <t>Cena netto</t>
  </si>
  <si>
    <t>Cena brutto</t>
  </si>
  <si>
    <t>Klient biznesowy</t>
  </si>
  <si>
    <t>Klient indywidualny</t>
  </si>
  <si>
    <t>Magazyn</t>
  </si>
  <si>
    <t>Inbank</t>
  </si>
  <si>
    <t>Santander</t>
  </si>
  <si>
    <t>Kwota instalacji</t>
  </si>
  <si>
    <t>Wkład włany</t>
  </si>
  <si>
    <t>Kwota kredytu</t>
  </si>
  <si>
    <t>RRSO</t>
  </si>
  <si>
    <t>RRSO/m-c</t>
  </si>
  <si>
    <t>Okres kredytowania</t>
  </si>
  <si>
    <t>M-c</t>
  </si>
  <si>
    <t>Rata</t>
  </si>
  <si>
    <t>Ilość lat kredytu:</t>
  </si>
  <si>
    <t>Wpłata własna:</t>
  </si>
  <si>
    <t>83 miesiące</t>
  </si>
  <si>
    <t>Ilość lat</t>
  </si>
  <si>
    <t>Cena instalacji brutto</t>
  </si>
  <si>
    <t>Wkład własny</t>
  </si>
  <si>
    <t>RATA MIESIĘCZNA</t>
  </si>
  <si>
    <t>Inbank - kredyt do 10 lat</t>
  </si>
  <si>
    <t>Warunki</t>
  </si>
  <si>
    <t>Maksymalna kwota kredytu</t>
  </si>
  <si>
    <t>Pompa Ciepła</t>
  </si>
  <si>
    <t>Piec</t>
  </si>
  <si>
    <t>Źródło Ciepła</t>
  </si>
  <si>
    <t>Ilość obiegów grzewczych</t>
  </si>
  <si>
    <t>Cena</t>
  </si>
  <si>
    <t>1 obieg - 5/4 - 1 pompa obiegowa</t>
  </si>
  <si>
    <t>2 obiegi - 5/4 - 2 pompy obiegowe</t>
  </si>
  <si>
    <t>Armatura</t>
  </si>
  <si>
    <t>Polipropylen</t>
  </si>
  <si>
    <t>armatura kocioł</t>
  </si>
  <si>
    <t>Montaż PC Polipropylen</t>
  </si>
  <si>
    <t>Montaż kocioł</t>
  </si>
  <si>
    <t>Połączenie starego źródła ogrzewania z Pompą Ciepła</t>
  </si>
  <si>
    <t>Odcięcie starego źródła ciepła</t>
  </si>
  <si>
    <t>Wyniesienie starego źródła ciepła</t>
  </si>
  <si>
    <t>Integracja z instalacją solarną</t>
  </si>
  <si>
    <t>Zalanie instalacji glikolem</t>
  </si>
  <si>
    <t>elektryka pompa</t>
  </si>
  <si>
    <t>elektryka kocioł</t>
  </si>
  <si>
    <t>Marża Supreme</t>
  </si>
  <si>
    <t>PP</t>
  </si>
  <si>
    <t>Rodzaj Źródła Ciepła</t>
  </si>
  <si>
    <t>Ilość obiegów grzewczych </t>
  </si>
  <si>
    <t>Armatura </t>
  </si>
  <si>
    <t>elektryka </t>
  </si>
  <si>
    <t>Santander  - kredyt do 10 lat</t>
  </si>
  <si>
    <t>STANDARD PLUS</t>
  </si>
  <si>
    <t>STANDARD</t>
  </si>
  <si>
    <t>RABAT</t>
  </si>
  <si>
    <t>MENAGO</t>
  </si>
  <si>
    <t>Dotacja Czyste powietrze</t>
  </si>
  <si>
    <t>PC + podstawowy</t>
  </si>
  <si>
    <t>PC + podwyższony</t>
  </si>
  <si>
    <t>PC + najwyższy</t>
  </si>
  <si>
    <t>PP + podstawowy</t>
  </si>
  <si>
    <t>PP + podwyższony</t>
  </si>
  <si>
    <t>PP + najwyższy</t>
  </si>
  <si>
    <t>Co/CWU + podstawowy</t>
  </si>
  <si>
    <t>Co/CWU + podwyższony</t>
  </si>
  <si>
    <t>Co/CWU + najwyższy</t>
  </si>
  <si>
    <t>Dotacja Czyste Powietrze</t>
  </si>
  <si>
    <t>Podstawowy</t>
  </si>
  <si>
    <t>Podwyższony</t>
  </si>
  <si>
    <t>Najwyższy</t>
  </si>
  <si>
    <t>Cena brutto po dotacjach</t>
  </si>
  <si>
    <t>Piec na pelet Ferroli 12 kW</t>
  </si>
  <si>
    <t>Piec zgazowujący PEREKO 14 kW</t>
  </si>
  <si>
    <t>Piec na pelet Ferroli 18 kW</t>
  </si>
  <si>
    <t>Piec na pelet Ferroli 24 kW</t>
  </si>
  <si>
    <t>1 obieg - 1 - 1 pompa obiegowa</t>
  </si>
  <si>
    <t>2 obiegi - 1 - 2 pompy obiegowe</t>
  </si>
  <si>
    <t>Zasobink CWU PC</t>
  </si>
  <si>
    <t>Zasobink CWU 150l</t>
  </si>
  <si>
    <t>POZIOM DOTACJI</t>
  </si>
  <si>
    <t>PODSTAWOWY</t>
  </si>
  <si>
    <t>Ulga Termomodernizacyjna</t>
  </si>
  <si>
    <t>ER_Kalkulator_PC_01_05</t>
  </si>
  <si>
    <t>Wymiennik Ciepła</t>
  </si>
  <si>
    <t>Eco Heat 1F mono - 6kW</t>
  </si>
  <si>
    <t>Eco Heat 3F mono - 8kW</t>
  </si>
  <si>
    <t>Eco Heat 3F mono - 10kW</t>
  </si>
  <si>
    <t>Eco Heat 3F mono - 12kW</t>
  </si>
  <si>
    <t>Eco Heat 3F mono - 14kW</t>
  </si>
  <si>
    <t>Eco Heat 3Fmono - 16kW</t>
  </si>
  <si>
    <t>Modernizacja CO/CWU</t>
  </si>
  <si>
    <t>Wykonanie wentylacji kotłowni</t>
  </si>
  <si>
    <t>MARŻA DODATKOWA</t>
  </si>
  <si>
    <t>Zasobink CWU 200l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</si>
</sst>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EED1F7"/>
      <name val="Calibri"/>
      <family val="2"/>
      <scheme val="minor"/>
    </font>
    <font>
      <b/>
      <sz val="10"/>
      <color theme="1"/>
      <name val="Graphik Light"/>
      <family val="2"/>
    </font>
    <font>
      <sz val="10"/>
      <color theme="1"/>
      <name val="Graphik Light"/>
      <family val="2"/>
    </font>
    <font>
      <b/>
      <sz val="12"/>
      <color theme="1"/>
      <name val="Graphik Light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D1F7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44" fontId="2" fillId="0" borderId="0" xfId="1" applyFont="1"/>
    <xf numFmtId="0" fontId="2" fillId="0" borderId="0" xfId="0" applyFont="1" applyAlignment="1">
      <alignment vertical="center"/>
    </xf>
    <xf numFmtId="44" fontId="0" fillId="0" borderId="0" xfId="1" applyFont="1"/>
    <xf numFmtId="164" fontId="0" fillId="0" borderId="0" xfId="0" applyNumberFormat="1"/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8" fillId="0" borderId="0" xfId="0" applyFont="1"/>
    <xf numFmtId="0" fontId="3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8" fontId="0" fillId="0" borderId="0" xfId="0" applyNumberFormat="1"/>
    <xf numFmtId="0" fontId="3" fillId="2" borderId="1" xfId="0" applyFont="1" applyFill="1" applyBorder="1" applyAlignment="1">
      <alignment horizontal="left" vertical="center"/>
    </xf>
    <xf numFmtId="0" fontId="0" fillId="0" borderId="0" xfId="0" applyProtection="1">
      <protection hidden="1"/>
    </xf>
    <xf numFmtId="0" fontId="11" fillId="0" borderId="3" xfId="0" applyFont="1" applyBorder="1" applyProtection="1">
      <protection hidden="1"/>
    </xf>
    <xf numFmtId="0" fontId="13" fillId="0" borderId="0" xfId="0" applyFont="1" applyProtection="1">
      <protection hidden="1"/>
    </xf>
    <xf numFmtId="164" fontId="0" fillId="0" borderId="0" xfId="0" applyNumberFormat="1" applyAlignment="1">
      <alignment horizontal="center" vertical="center"/>
    </xf>
    <xf numFmtId="0" fontId="11" fillId="0" borderId="9" xfId="0" applyFont="1" applyBorder="1" applyProtection="1"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3" fontId="11" fillId="0" borderId="4" xfId="0" applyNumberFormat="1" applyFont="1" applyBorder="1" applyAlignment="1" applyProtection="1">
      <alignment horizontal="center" vertical="center"/>
      <protection hidden="1"/>
    </xf>
    <xf numFmtId="164" fontId="11" fillId="0" borderId="4" xfId="0" applyNumberFormat="1" applyFont="1" applyBorder="1" applyAlignment="1" applyProtection="1">
      <alignment horizontal="center" vertical="center"/>
      <protection hidden="1"/>
    </xf>
    <xf numFmtId="164" fontId="11" fillId="0" borderId="10" xfId="0" applyNumberFormat="1" applyFont="1" applyBorder="1" applyAlignment="1" applyProtection="1">
      <alignment horizontal="center" vertical="center"/>
      <protection hidden="1"/>
    </xf>
    <xf numFmtId="164" fontId="4" fillId="2" borderId="1" xfId="0" applyNumberFormat="1" applyFont="1" applyFill="1" applyBorder="1" applyAlignment="1">
      <alignment horizontal="center" vertical="center"/>
    </xf>
    <xf numFmtId="0" fontId="10" fillId="4" borderId="5" xfId="0" applyFont="1" applyFill="1" applyBorder="1" applyProtection="1">
      <protection hidden="1"/>
    </xf>
    <xf numFmtId="164" fontId="10" fillId="4" borderId="6" xfId="0" applyNumberFormat="1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/>
    <xf numFmtId="49" fontId="0" fillId="0" borderId="0" xfId="0" applyNumberFormat="1" applyAlignment="1">
      <alignment horizontal="center" vertical="center"/>
    </xf>
    <xf numFmtId="164" fontId="14" fillId="3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44" fontId="0" fillId="0" borderId="0" xfId="0" applyNumberFormat="1"/>
    <xf numFmtId="0" fontId="5" fillId="3" borderId="2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16" fillId="0" borderId="0" xfId="0" applyFont="1"/>
    <xf numFmtId="9" fontId="4" fillId="2" borderId="1" xfId="4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 applyProtection="1">
      <alignment horizontal="center"/>
      <protection hidden="1"/>
    </xf>
    <xf numFmtId="0" fontId="12" fillId="4" borderId="8" xfId="0" applyFont="1" applyFill="1" applyBorder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Hiperłącze 2" xfId="3" xr:uid="{069F1118-308F-4A0E-8B63-93FAA06C604F}"/>
    <cellStyle name="Normalny" xfId="0" builtinId="0"/>
    <cellStyle name="Normalny 2" xfId="2" xr:uid="{7B2FD09C-B134-4BF4-BB6A-24FA226B688B}"/>
    <cellStyle name="Procentowy" xfId="4" builtinId="5"/>
    <cellStyle name="Walutowy" xfId="1" builtinId="4"/>
  </cellStyles>
  <dxfs count="13">
    <dxf>
      <font>
        <color theme="1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2"/>
        </patternFill>
      </fill>
    </dxf>
    <dxf>
      <font>
        <color theme="1"/>
      </font>
      <numFmt numFmtId="164" formatCode="#,##0.00\ &quot;zł&quot;"/>
      <fill>
        <patternFill>
          <fgColor theme="1"/>
          <bgColor theme="2"/>
        </patternFill>
      </fill>
    </dxf>
    <dxf>
      <font>
        <color theme="1"/>
      </font>
      <fill>
        <patternFill>
          <bgColor theme="2"/>
        </patternFill>
      </fill>
    </dxf>
    <dxf>
      <font>
        <color theme="1"/>
      </font>
      <fill>
        <patternFill>
          <bgColor theme="2"/>
        </patternFill>
      </fill>
    </dxf>
    <dxf>
      <font>
        <color theme="1"/>
      </font>
      <fill>
        <patternFill>
          <bgColor theme="2"/>
        </patternFill>
      </fill>
    </dxf>
    <dxf>
      <font>
        <color theme="1"/>
      </font>
      <fill>
        <patternFill>
          <bgColor theme="2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EED1F7"/>
      <color rgb="FFE6BBF3"/>
      <color rgb="FFC765E5"/>
      <color rgb="FFA01FE1"/>
      <color rgb="FF8873DF"/>
      <color rgb="FF551A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112607</xdr:rowOff>
    </xdr:from>
    <xdr:to>
      <xdr:col>2</xdr:col>
      <xdr:colOff>3717291</xdr:colOff>
      <xdr:row>6</xdr:row>
      <xdr:rowOff>60265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F53140C-5F3B-4B8A-81B1-356C5C495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607"/>
          <a:ext cx="4954483" cy="1032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7</xdr:row>
      <xdr:rowOff>19050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A05BF45-8E70-4D9B-BCFE-B5DBDCFBC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25150" cy="1282065"/>
        </a:xfrm>
        <a:prstGeom prst="rect">
          <a:avLst/>
        </a:prstGeom>
      </xdr:spPr>
    </xdr:pic>
    <xdr:clientData/>
  </xdr:twoCellAnchor>
  <xdr:twoCellAnchor editAs="oneCell">
    <xdr:from>
      <xdr:col>5</xdr:col>
      <xdr:colOff>1483995</xdr:colOff>
      <xdr:row>0</xdr:row>
      <xdr:rowOff>85725</xdr:rowOff>
    </xdr:from>
    <xdr:to>
      <xdr:col>7</xdr:col>
      <xdr:colOff>396240</xdr:colOff>
      <xdr:row>4</xdr:row>
      <xdr:rowOff>172357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A756E2A-7F23-453D-953E-9B3F1AE77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5145" y="85725"/>
          <a:ext cx="3632835" cy="79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FA4FA-C6C0-409C-A4C2-52C305CFA288}">
  <sheetPr>
    <pageSetUpPr autoPageBreaks="0"/>
  </sheetPr>
  <dimension ref="A1:AT44"/>
  <sheetViews>
    <sheetView showGridLines="0" showRowColHeaders="0" tabSelected="1" topLeftCell="A7" zoomScale="90" zoomScaleNormal="90" workbookViewId="0">
      <selection activeCell="F19" sqref="F19"/>
    </sheetView>
  </sheetViews>
  <sheetFormatPr defaultColWidth="0" defaultRowHeight="14.4" zeroHeight="1"/>
  <cols>
    <col min="1" max="2" width="8.88671875" customWidth="1"/>
    <col min="3" max="3" width="64.5546875" style="7" customWidth="1"/>
    <col min="4" max="4" width="52.21875" style="1" bestFit="1" customWidth="1"/>
    <col min="5" max="5" width="8.88671875" customWidth="1"/>
    <col min="6" max="6" width="25" customWidth="1"/>
    <col min="7" max="7" width="21.109375" customWidth="1"/>
    <col min="8" max="9" width="8.88671875" customWidth="1"/>
    <col min="10" max="45" width="8.88671875" hidden="1" customWidth="1"/>
    <col min="46" max="46" width="0.5546875" hidden="1" customWidth="1"/>
    <col min="47" max="16384" width="8.88671875" hidden="1"/>
  </cols>
  <sheetData>
    <row r="1" spans="3:5"/>
    <row r="2" spans="3:5"/>
    <row r="3" spans="3:5"/>
    <row r="4" spans="3:5"/>
    <row r="5" spans="3:5"/>
    <row r="6" spans="3:5"/>
    <row r="7" spans="3:5"/>
    <row r="8" spans="3:5"/>
    <row r="9" spans="3:5" ht="11.4" customHeight="1" thickBot="1">
      <c r="C9" s="35" t="s">
        <v>102</v>
      </c>
    </row>
    <row r="10" spans="3:5" ht="18" customHeight="1" thickBot="1">
      <c r="C10" s="19" t="s">
        <v>24</v>
      </c>
    </row>
    <row r="11" spans="3:5" ht="18.600000000000001" thickBot="1">
      <c r="C11" s="16"/>
      <c r="E11" s="15"/>
    </row>
    <row r="12" spans="3:5" ht="20.399999999999999" customHeight="1" thickBot="1">
      <c r="C12" s="16" t="s">
        <v>67</v>
      </c>
      <c r="D12" s="8" t="s">
        <v>46</v>
      </c>
      <c r="E12" s="15"/>
    </row>
    <row r="13" spans="3:5" ht="18.600000000000001" thickBot="1">
      <c r="C13" s="16" t="s">
        <v>14</v>
      </c>
      <c r="D13" s="12"/>
      <c r="E13" s="15"/>
    </row>
    <row r="14" spans="3:5" ht="18.600000000000001" thickBot="1">
      <c r="C14" s="16" t="s">
        <v>48</v>
      </c>
      <c r="D14" s="8" t="s">
        <v>104</v>
      </c>
      <c r="E14" s="39" t="str">
        <f>IF(D12=Baza!A1,"",IF(ISNA(MATCH(D14,_xlfn.ANCHORARRAY(Arkusz1!N3),0)),"&lt;- Wybierz poprawne źródło ciepła!",""))</f>
        <v/>
      </c>
    </row>
    <row r="15" spans="3:5" ht="18.600000000000001" thickBot="1">
      <c r="C15" s="17" t="s">
        <v>25</v>
      </c>
      <c r="D15" s="11" t="s">
        <v>5</v>
      </c>
      <c r="E15" s="15"/>
    </row>
    <row r="16" spans="3:5" ht="18.600000000000001" thickBot="1">
      <c r="C16" s="17" t="s">
        <v>49</v>
      </c>
      <c r="D16" s="11" t="s">
        <v>95</v>
      </c>
      <c r="E16" s="39" t="str">
        <f>IF(D12=Baza!A3,"",IF(E14&lt;&gt;"","",IF(ISNA(MATCH(D16,_xlfn.ANCHORARRAY(Arkusz1!Q3),0)),"&lt;- Wybierz poprawną ilość obiegów grzewczych!","")))</f>
        <v/>
      </c>
    </row>
    <row r="17" spans="3:7" ht="18.600000000000001" thickBot="1">
      <c r="C17" s="16"/>
      <c r="D17" s="13"/>
      <c r="E17" s="15"/>
    </row>
    <row r="18" spans="3:7" ht="18.600000000000001" thickBot="1">
      <c r="C18" s="17"/>
      <c r="D18" s="11"/>
    </row>
    <row r="19" spans="3:7" ht="18.600000000000001" thickBot="1">
      <c r="C19" s="16"/>
      <c r="D19" s="8"/>
      <c r="E19" s="15"/>
    </row>
    <row r="20" spans="3:7" ht="18.600000000000001" thickBot="1">
      <c r="C20" s="17"/>
      <c r="D20" s="11"/>
      <c r="E20" s="15"/>
    </row>
    <row r="21" spans="3:7" ht="18.600000000000001" thickBot="1">
      <c r="C21" s="16" t="s">
        <v>8</v>
      </c>
      <c r="D21" s="8" t="s">
        <v>19</v>
      </c>
    </row>
    <row r="22" spans="3:7" ht="18.600000000000001" thickBot="1">
      <c r="C22" s="17" t="s">
        <v>113</v>
      </c>
      <c r="D22" s="11" t="s">
        <v>19</v>
      </c>
    </row>
    <row r="23" spans="3:7" ht="18.600000000000001" thickBot="1">
      <c r="C23" s="16" t="s">
        <v>103</v>
      </c>
      <c r="D23" s="8" t="s">
        <v>19</v>
      </c>
    </row>
    <row r="24" spans="3:7" ht="18.600000000000001" thickBot="1">
      <c r="C24" s="17" t="s">
        <v>98</v>
      </c>
      <c r="D24" s="11" t="s">
        <v>19</v>
      </c>
      <c r="F24" s="43" t="s">
        <v>86</v>
      </c>
      <c r="G24" s="44"/>
    </row>
    <row r="25" spans="3:7" ht="18.600000000000001" thickBot="1">
      <c r="C25" s="17" t="s">
        <v>110</v>
      </c>
      <c r="D25" s="11" t="s">
        <v>19</v>
      </c>
      <c r="F25" s="45" t="s">
        <v>18</v>
      </c>
      <c r="G25" s="46"/>
    </row>
    <row r="26" spans="3:7" ht="18.600000000000001" thickBot="1">
      <c r="C26" s="17" t="s">
        <v>111</v>
      </c>
      <c r="D26" s="11" t="s">
        <v>19</v>
      </c>
      <c r="F26" s="43" t="s">
        <v>99</v>
      </c>
      <c r="G26" s="44"/>
    </row>
    <row r="27" spans="3:7" ht="18.600000000000001" thickBot="1">
      <c r="C27" s="17"/>
      <c r="D27" s="11"/>
      <c r="F27" s="45" t="s">
        <v>100</v>
      </c>
      <c r="G27" s="46"/>
    </row>
    <row r="28" spans="3:7" ht="18.600000000000001" thickBot="1">
      <c r="C28" s="17"/>
      <c r="D28" s="37"/>
      <c r="F28" s="47">
        <f>IF(D33="","",IF(F25="NIE","",(Obliczenia!O3+Obliczenia!O4)))</f>
        <v>14080</v>
      </c>
      <c r="G28" s="48"/>
    </row>
    <row r="29" spans="3:7" ht="18.600000000000001" thickBot="1">
      <c r="C29" s="17"/>
      <c r="D29" s="37"/>
      <c r="F29" s="41" t="s">
        <v>101</v>
      </c>
      <c r="G29" s="42"/>
    </row>
    <row r="30" spans="3:7" ht="18.600000000000001" thickBot="1">
      <c r="C30" s="16"/>
      <c r="D30" s="12"/>
      <c r="F30" s="40">
        <v>0.19</v>
      </c>
      <c r="G30" s="38">
        <f>IF(D33="","",IF(F28="",D33*F30,(D33-F28)*F30))</f>
        <v>5790.9416000000001</v>
      </c>
    </row>
    <row r="31" spans="3:7" ht="32.4" customHeight="1" thickBot="1">
      <c r="C31" s="16" t="s">
        <v>11</v>
      </c>
      <c r="D31" s="9" t="s">
        <v>72</v>
      </c>
    </row>
    <row r="32" spans="3:7" ht="18.600000000000001" thickBot="1">
      <c r="C32" s="16" t="s">
        <v>21</v>
      </c>
      <c r="D32" s="34">
        <f>IF(OR(E16&lt;&gt;"",E14&lt;&gt;""),"",Obliczenia!$C$2)</f>
        <v>41258</v>
      </c>
      <c r="F32" s="12" t="s">
        <v>36</v>
      </c>
      <c r="G32" s="12" t="s">
        <v>37</v>
      </c>
    </row>
    <row r="33" spans="3:7" ht="18.600000000000001" thickBot="1">
      <c r="C33" s="16" t="s">
        <v>22</v>
      </c>
      <c r="D33" s="34">
        <f>IF(D32="","",IF(Obliczenia!$I$3&lt;&gt;"",Obliczenia!$I$3,Obliczenia!$I$4))</f>
        <v>44558.64</v>
      </c>
      <c r="F33" s="8">
        <v>6</v>
      </c>
      <c r="G33" s="29">
        <v>0</v>
      </c>
    </row>
    <row r="34" spans="3:7" ht="18.600000000000001" thickBot="1">
      <c r="C34" s="16" t="s">
        <v>90</v>
      </c>
      <c r="D34" s="34">
        <f>IF(D33="","",IF(F28="",(D33-G30),(D33-F28-G30)))</f>
        <v>24687.698400000001</v>
      </c>
    </row>
    <row r="35" spans="3:7" ht="18.600000000000001" thickBot="1">
      <c r="C35" s="16"/>
      <c r="D35" s="14"/>
    </row>
    <row r="36" spans="3:7" ht="18.600000000000001" thickBot="1">
      <c r="C36" s="17" t="s">
        <v>112</v>
      </c>
      <c r="D36" s="10">
        <v>0</v>
      </c>
    </row>
    <row r="37" spans="3:7"/>
    <row r="38" spans="3:7"/>
    <row r="39" spans="3:7"/>
    <row r="40" spans="3:7"/>
    <row r="41" spans="3:7"/>
    <row r="42" spans="3:7"/>
    <row r="43" spans="3:7"/>
    <row r="44" spans="3:7"/>
  </sheetData>
  <sheetProtection algorithmName="SHA-512" hashValue="QPPS9YKvgSHQRTZfpEjLApDti++WmaffHNP6PSDDndGcyrYbKUYQ/4L0R2O5UBczrA7B4iU9Rg2lKg65km20LA==" saltValue="lb3ZK2KzfGix3TPrCIb84Q==" spinCount="100000" sheet="1" objects="1" scenarios="1"/>
  <protectedRanges>
    <protectedRange sqref="C10 D12 D14 D16 D31 D36 F33:G33 D18:D29 F30 F27 F25" name="Rozstęp1"/>
  </protectedRanges>
  <mergeCells count="6">
    <mergeCell ref="F29:G29"/>
    <mergeCell ref="F24:G24"/>
    <mergeCell ref="F25:G25"/>
    <mergeCell ref="F26:G26"/>
    <mergeCell ref="F27:G27"/>
    <mergeCell ref="F28:G28"/>
  </mergeCells>
  <dataValidations count="5">
    <dataValidation type="whole" allowBlank="1" showInputMessage="1" showErrorMessage="1" sqref="D17" xr:uid="{BE871262-7C80-4B48-A211-C4D13E6770BF}">
      <formula1>0</formula1>
      <formula2>999</formula2>
    </dataValidation>
    <dataValidation type="decimal" allowBlank="1" showInputMessage="1" showErrorMessage="1" sqref="G33" xr:uid="{AE708847-6308-4AFF-A1C4-6F4C5CF98789}">
      <formula1>0</formula1>
      <formula2>100000</formula2>
    </dataValidation>
    <dataValidation type="list" allowBlank="1" showInputMessage="1" showErrorMessage="1" sqref="F25:G25" xr:uid="{86528E36-DC4B-40D7-A239-0994FD5D79B7}">
      <formula1>"TAK, NIE"</formula1>
    </dataValidation>
    <dataValidation type="list" allowBlank="1" showInputMessage="1" showErrorMessage="1" sqref="F27:G27" xr:uid="{E80A4665-0924-4A36-8012-58BDDE926C50}">
      <formula1>"PODSTAWOWY, PODWYŻSZONY, NAJWYŻSZY"</formula1>
    </dataValidation>
    <dataValidation type="list" allowBlank="1" showInputMessage="1" showErrorMessage="1" sqref="F30" xr:uid="{8BF42E30-02F6-4A80-8350-F6B8B3A69805}">
      <formula1>"12%, 19%"</formula1>
    </dataValidation>
  </dataValidations>
  <pageMargins left="0.7" right="0.7" top="0.75" bottom="0.75" header="0.3" footer="0.3"/>
  <pageSetup paperSize="9" orientation="portrait" r:id="rId1"/>
  <drawing r:id="rId2"/>
  <picture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2F7B851C-B5D1-4A68-AFE6-11CB419E7163}">
            <xm:f>($D$12=Baza!$A$2)</xm:f>
            <x14:dxf>
              <font>
                <color theme="1"/>
              </font>
            </x14:dxf>
          </x14:cfRule>
          <xm:sqref>C16 C18 C22</xm:sqref>
        </x14:conditionalFormatting>
        <x14:conditionalFormatting xmlns:xm="http://schemas.microsoft.com/office/excel/2006/main">
          <x14:cfRule type="expression" priority="5" id="{4D845DD5-18F4-449B-983B-1B36668B0B82}">
            <xm:f>($D$19=Obliczenia!$H$2)</xm:f>
            <x14:dxf>
              <font>
                <color theme="1"/>
              </font>
            </x14:dxf>
          </x14:cfRule>
          <xm:sqref>C20</xm:sqref>
        </x14:conditionalFormatting>
        <x14:conditionalFormatting xmlns:xm="http://schemas.microsoft.com/office/excel/2006/main">
          <x14:cfRule type="expression" priority="15" id="{74C41C0D-CD9E-4DA7-8A8E-4F1F4F26D86F}">
            <xm:f>($D$12=Baza!$A$3)</xm:f>
            <x14:dxf>
              <font>
                <color theme="1"/>
              </font>
            </x14:dxf>
          </x14:cfRule>
          <xm:sqref>C24:C29</xm:sqref>
        </x14:conditionalFormatting>
        <x14:conditionalFormatting xmlns:xm="http://schemas.microsoft.com/office/excel/2006/main">
          <x14:cfRule type="expression" priority="13" id="{53F33206-9F74-43BB-A8AE-AA012D6047BA}">
            <xm:f>($D$12=Baza!$A$2)</xm:f>
            <x14:dxf>
              <font>
                <color theme="1"/>
              </font>
              <fill>
                <patternFill>
                  <bgColor theme="2"/>
                </patternFill>
              </fill>
            </x14:dxf>
          </x14:cfRule>
          <xm:sqref>D16 D18 D21:D23</xm:sqref>
        </x14:conditionalFormatting>
        <x14:conditionalFormatting xmlns:xm="http://schemas.microsoft.com/office/excel/2006/main">
          <x14:cfRule type="expression" priority="4" id="{468616A2-A00A-43E7-9D32-57A1CC55A882}">
            <xm:f>($D$19=Obliczenia!$H$2)</xm:f>
            <x14:dxf>
              <font>
                <color theme="1"/>
              </font>
              <fill>
                <patternFill>
                  <bgColor theme="2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6" id="{C4BE36B4-A1C3-4483-8FDA-6EC18A87AC67}">
            <xm:f>($D$12=Baza!$A$3)</xm:f>
            <x14:dxf>
              <font>
                <color theme="1"/>
              </font>
              <fill>
                <patternFill>
                  <bgColor theme="2"/>
                </patternFill>
              </fill>
            </x14:dxf>
          </x14:cfRule>
          <xm:sqref>D24:D29</xm:sqref>
        </x14:conditionalFormatting>
        <x14:conditionalFormatting xmlns:xm="http://schemas.microsoft.com/office/excel/2006/main">
          <x14:cfRule type="expression" priority="17" id="{7CB19659-01EE-4C40-B40B-850CD51EB6D1}">
            <xm:f>($D$31=Baza!$B$2)</xm:f>
            <x14:dxf>
              <font>
                <color theme="1"/>
              </font>
              <numFmt numFmtId="164" formatCode="#,##0.00\ &quot;zł&quot;"/>
              <fill>
                <patternFill>
                  <fgColor theme="1"/>
                  <bgColor theme="2"/>
                </patternFill>
              </fill>
            </x14:dxf>
          </x14:cfRule>
          <xm:sqref>D36</xm:sqref>
        </x14:conditionalFormatting>
        <x14:conditionalFormatting xmlns:xm="http://schemas.microsoft.com/office/excel/2006/main">
          <x14:cfRule type="expression" priority="18" id="{A8DC59A9-96F2-457E-BFEC-532B61504E5A}">
            <xm:f>(Obliczenia!$D$35="TAK")</xm:f>
            <x14:dxf>
              <font>
                <color auto="1"/>
              </font>
              <fill>
                <patternFill>
                  <bgColor theme="2"/>
                </pattern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1" id="{A7966057-6692-4151-AC98-0999A6E1CD06}">
            <xm:f>($D$31=Baza!$B$2)</xm:f>
            <x14:dxf>
              <font>
                <color theme="1"/>
              </font>
            </x14:dxf>
          </x14:cfRule>
          <xm:sqref>C36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xr:uid="{0E4EFAA3-3F81-4E3E-A05F-F1505D994CCA}">
          <x14:formula1>
            <xm:f>Baza!$A$2:$A$3</xm:f>
          </x14:formula1>
          <xm:sqref>D12</xm:sqref>
        </x14:dataValidation>
        <x14:dataValidation type="list" showInputMessage="1" showErrorMessage="1" xr:uid="{BF34BD7D-E6A1-44DF-B47C-22C6EB473848}">
          <x14:formula1>
            <xm:f>Baza!$B$2:$B$5</xm:f>
          </x14:formula1>
          <xm:sqref>D31</xm:sqref>
        </x14:dataValidation>
        <x14:dataValidation type="list" allowBlank="1" showInputMessage="1" showErrorMessage="1" xr:uid="{8263EBB4-36C2-466A-BB01-B1089134DB69}">
          <x14:formula1>
            <xm:f>Obliczenia!$H$3:$H$4</xm:f>
          </x14:formula1>
          <xm:sqref>C10</xm:sqref>
        </x14:dataValidation>
        <x14:dataValidation type="list" showInputMessage="1" showErrorMessage="1" xr:uid="{8BB55AE6-AAC7-496C-A7E8-8E70D4FBE5C4}">
          <x14:formula1>
            <xm:f>Kredyt!$A$2:$A$11</xm:f>
          </x14:formula1>
          <xm:sqref>F33</xm:sqref>
        </x14:dataValidation>
        <x14:dataValidation type="list" showInputMessage="1" showErrorMessage="1" xr:uid="{C7361EC3-C341-41A4-98EF-83E641B73E00}">
          <x14:formula1>
            <xm:f>IF($C$15="Magazyn",Baza!#REF!,Baza!#REF!)</xm:f>
          </x14:formula1>
          <xm:sqref>D15</xm:sqref>
        </x14:dataValidation>
        <x14:dataValidation type="list" allowBlank="1" showInputMessage="1" showErrorMessage="1" xr:uid="{B0101FE1-F834-498B-AE78-593C923F0DEE}">
          <x14:formula1>
            <xm:f>Obliczenia!$H$1:$H$2</xm:f>
          </x14:formula1>
          <xm:sqref>D18:D29</xm:sqref>
        </x14:dataValidation>
        <x14:dataValidation type="list" showInputMessage="1" showErrorMessage="1" xr:uid="{A0A27CEC-FD07-4F1A-976C-B92A814960B4}">
          <x14:formula1>
            <xm:f>_xlfn.IFS($D$12=Baza!$A$2,Baza!$D$8:$D$13,$D$12=Baza!$A$3,Baza!$D$3:$D$7)</xm:f>
          </x14:formula1>
          <xm:sqref>D14</xm:sqref>
        </x14:dataValidation>
        <x14:dataValidation type="list" showInputMessage="1" showErrorMessage="1" xr:uid="{47B95105-0AEE-4707-AACF-432C82E69D3D}">
          <x14:formula1>
            <xm:f>_xlfn.IFS($D$14=Baza!$D$8,Baza!$G$3:$G$4,$D$14=Baza!$D$9,Baza!$G$3:$G$4,$D$14=Baza!$D$10,Baza!$G$3:$G$4,$D$14=VLOOKUP($D$14,Baza!$D$11:$D$13,1,0),Baza!$G$5:$G$6)</xm:f>
          </x14:formula1>
          <xm:sqref>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76A55-F24E-4E3E-BECF-3A66A46C93DA}">
  <dimension ref="A1:H23"/>
  <sheetViews>
    <sheetView showGridLines="0" showRowColHeaders="0" workbookViewId="0">
      <selection activeCell="F11" sqref="F11"/>
    </sheetView>
  </sheetViews>
  <sheetFormatPr defaultColWidth="0" defaultRowHeight="14.4" zeroHeight="1"/>
  <cols>
    <col min="1" max="1" width="4" customWidth="1"/>
    <col min="2" max="2" width="1.88671875" customWidth="1"/>
    <col min="3" max="3" width="41.21875" customWidth="1"/>
    <col min="4" max="4" width="22.5546875" customWidth="1"/>
    <col min="5" max="5" width="8.88671875" customWidth="1"/>
    <col min="6" max="6" width="47.21875" customWidth="1"/>
    <col min="7" max="7" width="21.6640625" customWidth="1"/>
    <col min="8" max="8" width="8.88671875" customWidth="1"/>
    <col min="9" max="16" width="8.88671875" hidden="1" customWidth="1"/>
    <col min="17" max="16384" width="8.88671875" hidden="1"/>
  </cols>
  <sheetData>
    <row r="1" spans="3:7"/>
    <row r="2" spans="3:7"/>
    <row r="3" spans="3:7"/>
    <row r="4" spans="3:7"/>
    <row r="5" spans="3:7"/>
    <row r="6" spans="3:7"/>
    <row r="7" spans="3:7"/>
    <row r="8" spans="3:7" ht="15" thickBot="1"/>
    <row r="9" spans="3:7" ht="15.6">
      <c r="C9" s="49" t="s">
        <v>43</v>
      </c>
      <c r="D9" s="50"/>
      <c r="E9" s="22"/>
      <c r="F9" s="49" t="s">
        <v>71</v>
      </c>
      <c r="G9" s="50"/>
    </row>
    <row r="10" spans="3:7">
      <c r="C10" s="21" t="s">
        <v>39</v>
      </c>
      <c r="D10" s="25">
        <f>Kredyt!$J$2</f>
        <v>6</v>
      </c>
      <c r="E10" s="20"/>
      <c r="F10" s="21" t="s">
        <v>39</v>
      </c>
      <c r="G10" s="26">
        <f>Kredyt!$J$3</f>
        <v>6</v>
      </c>
    </row>
    <row r="11" spans="3:7">
      <c r="C11" s="21" t="s">
        <v>40</v>
      </c>
      <c r="D11" s="27">
        <f>Kredyt!$E$2</f>
        <v>24687.698400000001</v>
      </c>
      <c r="E11" s="20"/>
      <c r="F11" s="21" t="s">
        <v>40</v>
      </c>
      <c r="G11" s="27">
        <f>Kredyt!$E$3</f>
        <v>24687.698400000001</v>
      </c>
    </row>
    <row r="12" spans="3:7">
      <c r="C12" s="21" t="s">
        <v>41</v>
      </c>
      <c r="D12" s="27">
        <f>Kredyt!$F$2</f>
        <v>0</v>
      </c>
      <c r="E12" s="20"/>
      <c r="F12" s="21" t="s">
        <v>41</v>
      </c>
      <c r="G12" s="27">
        <f>Kredyt!$F$3</f>
        <v>0</v>
      </c>
    </row>
    <row r="13" spans="3:7">
      <c r="C13" s="24" t="s">
        <v>30</v>
      </c>
      <c r="D13" s="28">
        <f>Kredyt!$G$2</f>
        <v>24687.698400000001</v>
      </c>
      <c r="E13" s="20"/>
      <c r="F13" s="24" t="s">
        <v>30</v>
      </c>
      <c r="G13" s="28">
        <f>Kredyt!$G$3</f>
        <v>24687.698400000001</v>
      </c>
    </row>
    <row r="14" spans="3:7">
      <c r="C14" s="24" t="s">
        <v>45</v>
      </c>
      <c r="D14" s="28">
        <v>100000</v>
      </c>
      <c r="E14" s="20"/>
      <c r="F14" s="24" t="s">
        <v>45</v>
      </c>
      <c r="G14" s="28">
        <v>50000</v>
      </c>
    </row>
    <row r="15" spans="3:7" ht="15" thickBot="1">
      <c r="C15" s="30" t="s">
        <v>42</v>
      </c>
      <c r="D15" s="31">
        <f>Kredyt!$M$2</f>
        <v>491.01089039999999</v>
      </c>
      <c r="E15" s="20"/>
      <c r="F15" s="30" t="s">
        <v>42</v>
      </c>
      <c r="G15" s="31">
        <f>Kredyt!$M$3</f>
        <v>491.01089039999999</v>
      </c>
    </row>
    <row r="16" spans="3:7"/>
    <row r="17" customFormat="1"/>
    <row r="18" customFormat="1" hidden="1"/>
    <row r="19" customFormat="1" hidden="1"/>
    <row r="20" customFormat="1" hidden="1"/>
    <row r="21" customFormat="1" hidden="1"/>
    <row r="22" customFormat="1" hidden="1"/>
    <row r="23" customFormat="1" hidden="1"/>
  </sheetData>
  <sheetProtection algorithmName="SHA-512" hashValue="eQRtecIy4zcZ8YHpbYwTlgo2+gGml2OZksARAjHdZsmUq6NpsYC41TLokFsA8we6EAXPLUYVuVeY3yWEnd0UwQ==" saltValue="YBnXGq7rwbi2S45ofTKjpA==" spinCount="100000" sheet="1" objects="1" scenarios="1"/>
  <mergeCells count="2">
    <mergeCell ref="C9:D9"/>
    <mergeCell ref="F9:G9"/>
  </mergeCells>
  <conditionalFormatting sqref="D13">
    <cfRule type="cellIs" dxfId="2" priority="2" operator="greaterThan">
      <formula>$D$14</formula>
    </cfRule>
  </conditionalFormatting>
  <conditionalFormatting sqref="G13">
    <cfRule type="cellIs" dxfId="1" priority="1" operator="greaterThan">
      <formula>$G$14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C3548-2DF1-4B1E-8191-AC72B597B3BC}">
  <dimension ref="A1:M11"/>
  <sheetViews>
    <sheetView workbookViewId="0">
      <selection activeCell="L3" sqref="L3"/>
    </sheetView>
  </sheetViews>
  <sheetFormatPr defaultRowHeight="14.4"/>
  <cols>
    <col min="3" max="3" width="9.6640625" bestFit="1" customWidth="1"/>
    <col min="5" max="5" width="14.5546875" style="6" bestFit="1" customWidth="1"/>
    <col min="6" max="6" width="11.88671875" style="6" bestFit="1" customWidth="1"/>
    <col min="7" max="7" width="13.5546875" style="6" bestFit="1" customWidth="1"/>
    <col min="9" max="9" width="9.5546875" bestFit="1" customWidth="1"/>
    <col min="10" max="10" width="20.77734375" customWidth="1"/>
    <col min="11" max="11" width="14.5546875" customWidth="1"/>
    <col min="13" max="13" width="8.88671875" style="23"/>
  </cols>
  <sheetData>
    <row r="1" spans="1:13">
      <c r="E1" s="6" t="s">
        <v>28</v>
      </c>
      <c r="F1" s="6" t="s">
        <v>29</v>
      </c>
      <c r="G1" s="6" t="s">
        <v>30</v>
      </c>
      <c r="H1" t="s">
        <v>31</v>
      </c>
      <c r="I1" t="s">
        <v>32</v>
      </c>
      <c r="J1" s="6" t="s">
        <v>33</v>
      </c>
      <c r="K1" s="6" t="s">
        <v>34</v>
      </c>
      <c r="L1" s="6" t="s">
        <v>35</v>
      </c>
      <c r="M1" s="23" t="s">
        <v>44</v>
      </c>
    </row>
    <row r="2" spans="1:13">
      <c r="A2">
        <v>2</v>
      </c>
      <c r="D2" t="s">
        <v>26</v>
      </c>
      <c r="E2" s="6">
        <f>Kalkulator!$D$34</f>
        <v>24687.698400000001</v>
      </c>
      <c r="F2" s="6">
        <f>Kalkulator!$G$33</f>
        <v>0</v>
      </c>
      <c r="G2" s="6">
        <f>E2-F2</f>
        <v>24687.698400000001</v>
      </c>
      <c r="H2">
        <v>0.12839999999999999</v>
      </c>
      <c r="I2">
        <f>H2/12</f>
        <v>1.0699999999999999E-2</v>
      </c>
      <c r="J2">
        <f>Kalkulator!$F$33</f>
        <v>6</v>
      </c>
      <c r="K2">
        <f>J2*12</f>
        <v>72</v>
      </c>
      <c r="L2" s="18">
        <f>(G2/K2)+G2*0.006</f>
        <v>491.01089039999999</v>
      </c>
      <c r="M2" s="23">
        <f>IFERROR(IF(J2=VLOOKUP(J2,A2:A11,1,0),L2,0),"-")</f>
        <v>491.01089039999999</v>
      </c>
    </row>
    <row r="3" spans="1:13">
      <c r="A3">
        <v>3</v>
      </c>
      <c r="D3" t="s">
        <v>27</v>
      </c>
      <c r="E3" s="6">
        <f>Kalkulator!$D$34</f>
        <v>24687.698400000001</v>
      </c>
      <c r="F3" s="6">
        <f>Kalkulator!$G$33</f>
        <v>0</v>
      </c>
      <c r="G3" s="6">
        <f>E3-F3</f>
        <v>24687.698400000001</v>
      </c>
      <c r="H3">
        <v>0.12839999999999999</v>
      </c>
      <c r="I3">
        <f>H3/12</f>
        <v>1.0699999999999999E-2</v>
      </c>
      <c r="J3">
        <f>Kalkulator!$F$33</f>
        <v>6</v>
      </c>
      <c r="K3">
        <f>IFERROR(J3*12,120)</f>
        <v>72</v>
      </c>
      <c r="L3" s="18">
        <f>(G3/K3)+G3*0.006</f>
        <v>491.01089039999999</v>
      </c>
      <c r="M3" s="23">
        <f>IFERROR(IF(J3=VLOOKUP(J3,A2:A7,1,0),L3,0),"-")</f>
        <v>491.01089039999999</v>
      </c>
    </row>
    <row r="4" spans="1:13">
      <c r="A4">
        <v>4</v>
      </c>
    </row>
    <row r="5" spans="1:13">
      <c r="A5">
        <v>5</v>
      </c>
    </row>
    <row r="6" spans="1:13">
      <c r="A6">
        <v>6</v>
      </c>
    </row>
    <row r="7" spans="1:13">
      <c r="A7" t="s">
        <v>38</v>
      </c>
    </row>
    <row r="8" spans="1:13">
      <c r="A8">
        <v>7</v>
      </c>
    </row>
    <row r="9" spans="1:13">
      <c r="A9">
        <v>8</v>
      </c>
    </row>
    <row r="10" spans="1:13">
      <c r="A10">
        <v>9</v>
      </c>
    </row>
    <row r="11" spans="1:13">
      <c r="A11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topLeftCell="F1" workbookViewId="0">
      <selection activeCell="V10" sqref="V10"/>
    </sheetView>
  </sheetViews>
  <sheetFormatPr defaultRowHeight="14.4"/>
  <cols>
    <col min="1" max="1" width="49.109375" bestFit="1" customWidth="1"/>
    <col min="2" max="2" width="11.88671875" bestFit="1" customWidth="1"/>
    <col min="4" max="4" width="28.6640625" customWidth="1"/>
    <col min="5" max="5" width="14.33203125" customWidth="1"/>
    <col min="6" max="6" width="22.88671875" customWidth="1"/>
    <col min="7" max="7" width="40.77734375" bestFit="1" customWidth="1"/>
    <col min="8" max="8" width="10.77734375" bestFit="1" customWidth="1"/>
    <col min="9" max="9" width="14.44140625" bestFit="1" customWidth="1"/>
    <col min="10" max="10" width="9.5546875" bestFit="1" customWidth="1"/>
    <col min="11" max="11" width="23.33203125" bestFit="1" customWidth="1"/>
    <col min="12" max="12" width="10.88671875" bestFit="1" customWidth="1"/>
    <col min="14" max="14" width="10.88671875" bestFit="1" customWidth="1"/>
    <col min="15" max="16" width="9.109375" customWidth="1"/>
    <col min="17" max="17" width="11.109375" customWidth="1"/>
    <col min="20" max="20" width="11" bestFit="1" customWidth="1"/>
    <col min="21" max="21" width="47.77734375" bestFit="1" customWidth="1"/>
    <col min="22" max="22" width="11.88671875" bestFit="1" customWidth="1"/>
  </cols>
  <sheetData>
    <row r="1" spans="1:22">
      <c r="A1" s="1" t="s">
        <v>7</v>
      </c>
      <c r="B1" s="52" t="s">
        <v>20</v>
      </c>
      <c r="C1" s="52"/>
      <c r="D1" s="52" t="s">
        <v>48</v>
      </c>
      <c r="E1" s="52"/>
      <c r="F1" s="52"/>
      <c r="G1" s="52" t="s">
        <v>49</v>
      </c>
      <c r="H1" s="52"/>
      <c r="I1" s="51" t="s">
        <v>53</v>
      </c>
      <c r="J1" s="51"/>
      <c r="K1" s="51" t="s">
        <v>1</v>
      </c>
      <c r="L1" s="51"/>
      <c r="M1" s="51" t="s">
        <v>0</v>
      </c>
      <c r="N1" s="51"/>
      <c r="O1" s="51" t="s">
        <v>9</v>
      </c>
      <c r="P1" s="51"/>
      <c r="Q1" s="51"/>
      <c r="R1" s="51" t="s">
        <v>65</v>
      </c>
      <c r="S1" s="51"/>
      <c r="T1" s="51"/>
      <c r="U1" s="52" t="s">
        <v>2</v>
      </c>
      <c r="V1" s="52"/>
    </row>
    <row r="2" spans="1:22">
      <c r="A2" t="s">
        <v>46</v>
      </c>
      <c r="B2" t="s">
        <v>72</v>
      </c>
      <c r="C2">
        <v>10000</v>
      </c>
      <c r="D2" s="1" t="s">
        <v>3</v>
      </c>
      <c r="E2" s="1" t="s">
        <v>17</v>
      </c>
      <c r="F2" s="1" t="s">
        <v>4</v>
      </c>
      <c r="G2" s="2" t="s">
        <v>3</v>
      </c>
      <c r="H2" s="2" t="s">
        <v>50</v>
      </c>
      <c r="I2" s="2" t="s">
        <v>3</v>
      </c>
      <c r="J2" s="2" t="s">
        <v>50</v>
      </c>
      <c r="K2" s="2" t="s">
        <v>3</v>
      </c>
      <c r="L2" s="2" t="s">
        <v>50</v>
      </c>
      <c r="M2" s="2" t="s">
        <v>3</v>
      </c>
      <c r="N2" s="2" t="s">
        <v>50</v>
      </c>
      <c r="O2" s="2">
        <v>0</v>
      </c>
      <c r="P2" s="2">
        <v>5</v>
      </c>
      <c r="Q2" s="3">
        <v>7000</v>
      </c>
      <c r="R2" s="2">
        <v>0</v>
      </c>
      <c r="S2" s="2">
        <v>9</v>
      </c>
      <c r="T2" s="3">
        <v>8000</v>
      </c>
      <c r="U2" s="4" t="s">
        <v>58</v>
      </c>
      <c r="V2" s="5">
        <v>2000</v>
      </c>
    </row>
    <row r="3" spans="1:22">
      <c r="A3" t="s">
        <v>47</v>
      </c>
      <c r="B3" t="s">
        <v>73</v>
      </c>
      <c r="C3">
        <v>8000</v>
      </c>
      <c r="D3" s="33" t="s">
        <v>91</v>
      </c>
      <c r="E3">
        <v>12</v>
      </c>
      <c r="F3" s="5">
        <v>19500</v>
      </c>
      <c r="G3" s="2" t="s">
        <v>95</v>
      </c>
      <c r="H3" s="3">
        <v>2800</v>
      </c>
      <c r="I3" s="2" t="s">
        <v>54</v>
      </c>
      <c r="J3" s="32">
        <v>2000</v>
      </c>
      <c r="K3" s="3" t="s">
        <v>56</v>
      </c>
      <c r="L3" s="32">
        <v>6000</v>
      </c>
      <c r="M3" s="2" t="s">
        <v>63</v>
      </c>
      <c r="N3" s="3">
        <v>600</v>
      </c>
      <c r="O3" s="2">
        <v>5.01</v>
      </c>
      <c r="P3" s="2">
        <v>9</v>
      </c>
      <c r="Q3" s="3">
        <v>9000</v>
      </c>
      <c r="R3" s="2">
        <v>9.01</v>
      </c>
      <c r="S3" s="2">
        <v>22</v>
      </c>
      <c r="T3" s="3">
        <v>8000</v>
      </c>
      <c r="U3" t="s">
        <v>59</v>
      </c>
      <c r="V3" s="5">
        <v>0</v>
      </c>
    </row>
    <row r="4" spans="1:22">
      <c r="B4" t="s">
        <v>74</v>
      </c>
      <c r="C4">
        <v>6000</v>
      </c>
      <c r="D4" s="33" t="s">
        <v>93</v>
      </c>
      <c r="E4">
        <v>18</v>
      </c>
      <c r="F4" s="5">
        <v>19500</v>
      </c>
      <c r="G4" s="2" t="s">
        <v>96</v>
      </c>
      <c r="H4" s="3">
        <v>3200</v>
      </c>
      <c r="I4" s="2" t="s">
        <v>55</v>
      </c>
      <c r="J4" s="32">
        <v>200</v>
      </c>
      <c r="K4" s="3" t="s">
        <v>57</v>
      </c>
      <c r="L4" s="32">
        <v>3000</v>
      </c>
      <c r="M4" s="2" t="s">
        <v>64</v>
      </c>
      <c r="N4" s="3">
        <v>1363.11</v>
      </c>
      <c r="O4" s="2">
        <v>9.01</v>
      </c>
      <c r="P4" s="2">
        <v>22</v>
      </c>
      <c r="Q4" s="3">
        <v>8000</v>
      </c>
      <c r="R4" s="51" t="s">
        <v>66</v>
      </c>
      <c r="S4" s="51"/>
      <c r="T4" s="3">
        <v>8000</v>
      </c>
      <c r="U4" t="s">
        <v>60</v>
      </c>
      <c r="V4" s="5">
        <v>1700</v>
      </c>
    </row>
    <row r="5" spans="1:22">
      <c r="B5" t="s">
        <v>75</v>
      </c>
      <c r="C5">
        <v>4000</v>
      </c>
      <c r="D5" s="33" t="s">
        <v>94</v>
      </c>
      <c r="E5">
        <v>24</v>
      </c>
      <c r="F5" s="5">
        <v>19500</v>
      </c>
      <c r="G5" s="2" t="s">
        <v>51</v>
      </c>
      <c r="H5" s="3">
        <v>3400</v>
      </c>
      <c r="I5" s="2"/>
      <c r="J5" s="2"/>
      <c r="K5" s="3"/>
      <c r="L5" s="32"/>
      <c r="M5" s="2"/>
      <c r="N5" s="3"/>
      <c r="O5" s="51" t="s">
        <v>66</v>
      </c>
      <c r="P5" s="51"/>
      <c r="Q5" s="3">
        <v>6500</v>
      </c>
      <c r="U5" t="s">
        <v>8</v>
      </c>
      <c r="V5" s="5">
        <v>600</v>
      </c>
    </row>
    <row r="6" spans="1:22">
      <c r="D6" s="33" t="s">
        <v>92</v>
      </c>
      <c r="E6">
        <v>14</v>
      </c>
      <c r="F6" s="5">
        <v>22500</v>
      </c>
      <c r="G6" s="2" t="s">
        <v>52</v>
      </c>
      <c r="H6" s="3">
        <v>3800</v>
      </c>
      <c r="I6" s="2"/>
      <c r="J6" s="2"/>
      <c r="K6" s="3"/>
      <c r="L6" s="2"/>
      <c r="M6" s="2"/>
      <c r="N6" s="3"/>
      <c r="U6" t="s">
        <v>61</v>
      </c>
      <c r="V6" s="5">
        <v>2000</v>
      </c>
    </row>
    <row r="7" spans="1:22">
      <c r="D7" s="33"/>
      <c r="F7" s="5"/>
      <c r="G7" s="2"/>
      <c r="H7" s="3"/>
      <c r="I7" s="2"/>
      <c r="J7" s="2"/>
      <c r="K7" s="3"/>
      <c r="L7" s="2"/>
      <c r="M7" s="2"/>
      <c r="N7" s="3"/>
      <c r="U7" t="s">
        <v>62</v>
      </c>
      <c r="V7" s="5">
        <v>1000</v>
      </c>
    </row>
    <row r="8" spans="1:22">
      <c r="D8" s="33" t="s">
        <v>104</v>
      </c>
      <c r="E8">
        <v>6</v>
      </c>
      <c r="F8" s="5">
        <v>4858</v>
      </c>
      <c r="G8" s="2"/>
      <c r="H8" s="3"/>
      <c r="I8" s="2"/>
      <c r="J8" s="2"/>
      <c r="K8" s="3"/>
      <c r="L8" s="2"/>
      <c r="M8" s="2"/>
      <c r="N8" s="3"/>
      <c r="U8" t="s">
        <v>98</v>
      </c>
      <c r="V8" s="5">
        <v>1200</v>
      </c>
    </row>
    <row r="9" spans="1:22">
      <c r="D9" s="33" t="s">
        <v>105</v>
      </c>
      <c r="E9">
        <v>8</v>
      </c>
      <c r="F9" s="5">
        <v>5385</v>
      </c>
      <c r="G9" s="2"/>
      <c r="H9" s="3"/>
      <c r="I9" s="2"/>
      <c r="J9" s="2"/>
      <c r="K9" s="3"/>
      <c r="L9" s="2"/>
      <c r="M9" s="2"/>
      <c r="N9" s="3"/>
      <c r="U9" t="s">
        <v>110</v>
      </c>
      <c r="V9" s="5">
        <v>20500</v>
      </c>
    </row>
    <row r="10" spans="1:22">
      <c r="D10" s="33" t="s">
        <v>106</v>
      </c>
      <c r="E10">
        <v>10</v>
      </c>
      <c r="F10" s="5">
        <v>5913</v>
      </c>
      <c r="G10" s="2"/>
      <c r="H10" s="3"/>
      <c r="U10" t="s">
        <v>12</v>
      </c>
      <c r="V10" s="5">
        <v>500</v>
      </c>
    </row>
    <row r="11" spans="1:22">
      <c r="D11" s="33" t="s">
        <v>107</v>
      </c>
      <c r="E11">
        <v>12</v>
      </c>
      <c r="F11" s="5">
        <v>6441</v>
      </c>
      <c r="G11" s="2"/>
      <c r="H11" s="3"/>
      <c r="U11" t="s">
        <v>97</v>
      </c>
      <c r="V11" s="5">
        <v>2800</v>
      </c>
    </row>
    <row r="12" spans="1:22">
      <c r="D12" s="33" t="s">
        <v>108</v>
      </c>
      <c r="E12">
        <v>14</v>
      </c>
      <c r="F12" s="5">
        <v>6969</v>
      </c>
      <c r="G12" s="2"/>
      <c r="H12" s="3"/>
      <c r="U12" t="s">
        <v>111</v>
      </c>
      <c r="V12" s="5">
        <v>1000</v>
      </c>
    </row>
    <row r="13" spans="1:22">
      <c r="D13" s="33" t="s">
        <v>109</v>
      </c>
      <c r="E13">
        <v>16</v>
      </c>
      <c r="F13" s="5">
        <v>7497</v>
      </c>
      <c r="H13" s="3"/>
      <c r="U13" t="s">
        <v>103</v>
      </c>
      <c r="V13" s="5">
        <v>2000</v>
      </c>
    </row>
    <row r="14" spans="1:22">
      <c r="H14" s="3"/>
    </row>
    <row r="15" spans="1:22">
      <c r="N15" s="36"/>
      <c r="V15" s="5"/>
    </row>
    <row r="16" spans="1:22">
      <c r="N16" s="36"/>
      <c r="V16" s="5"/>
    </row>
    <row r="17" spans="1:22">
      <c r="N17" s="36"/>
      <c r="V17" s="5"/>
    </row>
    <row r="18" spans="1:22">
      <c r="V18" s="5"/>
    </row>
    <row r="19" spans="1:22">
      <c r="V19" s="5"/>
    </row>
    <row r="20" spans="1:22">
      <c r="V20" s="5"/>
    </row>
    <row r="23" spans="1:22">
      <c r="U23" t="s">
        <v>76</v>
      </c>
    </row>
    <row r="24" spans="1:22">
      <c r="U24" t="s">
        <v>77</v>
      </c>
      <c r="V24">
        <v>14080</v>
      </c>
    </row>
    <row r="25" spans="1:22">
      <c r="U25" t="s">
        <v>78</v>
      </c>
      <c r="V25">
        <v>24640</v>
      </c>
    </row>
    <row r="26" spans="1:22">
      <c r="A26" s="2"/>
      <c r="U26" t="s">
        <v>79</v>
      </c>
      <c r="V26">
        <v>35200</v>
      </c>
    </row>
    <row r="27" spans="1:22">
      <c r="U27" t="s">
        <v>80</v>
      </c>
      <c r="V27">
        <v>8200</v>
      </c>
    </row>
    <row r="28" spans="1:22">
      <c r="U28" t="s">
        <v>81</v>
      </c>
      <c r="V28">
        <v>14350</v>
      </c>
    </row>
    <row r="29" spans="1:22">
      <c r="U29" t="s">
        <v>82</v>
      </c>
      <c r="V29">
        <v>20500</v>
      </c>
    </row>
    <row r="30" spans="1:22">
      <c r="U30" t="s">
        <v>83</v>
      </c>
      <c r="V30">
        <v>8200</v>
      </c>
    </row>
    <row r="31" spans="1:22">
      <c r="U31" t="s">
        <v>84</v>
      </c>
      <c r="V31">
        <v>14350</v>
      </c>
    </row>
    <row r="32" spans="1:22">
      <c r="U32" t="s">
        <v>85</v>
      </c>
      <c r="V32">
        <v>20500</v>
      </c>
    </row>
    <row r="36" spans="21:21">
      <c r="U36" t="s">
        <v>87</v>
      </c>
    </row>
    <row r="37" spans="21:21">
      <c r="U37" t="s">
        <v>88</v>
      </c>
    </row>
    <row r="38" spans="21:21">
      <c r="U38" t="s">
        <v>89</v>
      </c>
    </row>
  </sheetData>
  <mergeCells count="11">
    <mergeCell ref="U1:V1"/>
    <mergeCell ref="D1:F1"/>
    <mergeCell ref="G1:H1"/>
    <mergeCell ref="I1:J1"/>
    <mergeCell ref="K1:L1"/>
    <mergeCell ref="M1:N1"/>
    <mergeCell ref="O5:P5"/>
    <mergeCell ref="R4:S4"/>
    <mergeCell ref="B1:C1"/>
    <mergeCell ref="O1:Q1"/>
    <mergeCell ref="R1:T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DC3EF-ECA0-48FC-B0B0-D78AF67881FA}">
  <dimension ref="A1:O38"/>
  <sheetViews>
    <sheetView workbookViewId="0">
      <selection activeCell="A8" sqref="A8:C8"/>
    </sheetView>
  </sheetViews>
  <sheetFormatPr defaultRowHeight="14.4"/>
  <cols>
    <col min="1" max="1" width="31" bestFit="1" customWidth="1"/>
    <col min="2" max="2" width="31.33203125" style="6" bestFit="1" customWidth="1"/>
    <col min="3" max="3" width="15.6640625" style="6" bestFit="1" customWidth="1"/>
    <col min="4" max="5" width="23" bestFit="1" customWidth="1"/>
    <col min="9" max="9" width="10.5546875" bestFit="1" customWidth="1"/>
    <col min="13" max="13" width="0" hidden="1" customWidth="1"/>
    <col min="14" max="15" width="30.6640625" bestFit="1" customWidth="1"/>
    <col min="16" max="16" width="30" bestFit="1" customWidth="1"/>
    <col min="17" max="17" width="30.6640625" bestFit="1" customWidth="1"/>
  </cols>
  <sheetData>
    <row r="1" spans="1:15">
      <c r="A1" t="str">
        <f>Kalkulator!$D$14</f>
        <v>Eco Heat 1F mono - 6kW</v>
      </c>
      <c r="B1" s="6" t="s">
        <v>15</v>
      </c>
      <c r="C1" s="6" t="s">
        <v>16</v>
      </c>
      <c r="D1">
        <f>VLOOKUP(Kalkulator!$D$14,Baza!$D$3:$E$13,2,0)</f>
        <v>6</v>
      </c>
      <c r="E1" t="str">
        <f>_xlfn.CONCAT($D$1," kwp")</f>
        <v>6 kwp</v>
      </c>
      <c r="H1" t="s">
        <v>19</v>
      </c>
    </row>
    <row r="2" spans="1:15">
      <c r="A2" t="s">
        <v>6</v>
      </c>
      <c r="B2" s="6" t="str">
        <f>Kalkulator!$D$12</f>
        <v>Pompa Ciepła</v>
      </c>
      <c r="C2" s="6">
        <f>SUM(D30,C33:C35)</f>
        <v>41258</v>
      </c>
      <c r="H2" t="s">
        <v>18</v>
      </c>
    </row>
    <row r="3" spans="1:15">
      <c r="A3" t="s">
        <v>48</v>
      </c>
      <c r="B3" s="6">
        <f>VLOOKUP(Kalkulator!$D$14,Baza!D3:F13,3,0)</f>
        <v>4858</v>
      </c>
      <c r="C3" s="6" cm="1">
        <f t="array" ref="C3">_xlfn.IFS(Kalkulator!$D$12=Baza!$A$2,VLOOKUP(Kalkulator!$D$14,Baza!$D$8:$F$13,3,0),Kalkulator!$D$12=Baza!$A$3,VLOOKUP(Kalkulator!$D$14,Baza!$D$3:$F$7,3,0))</f>
        <v>4858</v>
      </c>
      <c r="H3" t="s">
        <v>24</v>
      </c>
      <c r="I3" s="6">
        <f>IF($H$3=Kalkulator!$C$10,Obliczenia!$C$2*1.08,"")</f>
        <v>44558.64</v>
      </c>
      <c r="N3" t="str">
        <f>Kalkulator!F27</f>
        <v>PODSTAWOWY</v>
      </c>
      <c r="O3" s="6" cm="1">
        <f t="array" ref="O3">_xlfn.IFS(AND(B2=Baza!A2,Obliczenia!N3=Baza!U36),Baza!V24,AND(B2=Baza!A2,Obliczenia!N3=Baza!U37),Baza!V25,AND(B2=Baza!A2,Obliczenia!N3=Baza!U38),Baza!V26,AND(B2=Baza!A3,Obliczenia!N3=Baza!U36),Baza!V27,AND(B2=Baza!A3,Obliczenia!N3=Baza!U37),Baza!V28,AND(B2=Baza!A3,Obliczenia!N3=Baza!U38),Baza!V29)</f>
        <v>14080</v>
      </c>
    </row>
    <row r="4" spans="1:15">
      <c r="A4" t="s">
        <v>68</v>
      </c>
      <c r="B4" s="6" cm="1">
        <f t="array" ref="B4">IF($B$2=Baza!$A$2,_xlfn.IFS(Kalkulator!$D$14=Baza!$D$8,VLOOKUP(Kalkulator!$D$16,Baza!$G$3:$H$4,2,0),Kalkulator!$D$14=Baza!$D$9,VLOOKUP(Kalkulator!$D$16,Baza!$G$3:$H$4,2,0),Kalkulator!$D$14=Baza!$D$10,VLOOKUP(Kalkulator!$D$16,Baza!$G$3:$H$4,2,0),Kalkulator!$D$14=VLOOKUP(Kalkulator!$D$14,Baza!$D$11:$D$13,1,0),VLOOKUP(Kalkulator!$D$16,Baza!$G$5:$H$6,2,0)),0)</f>
        <v>2800</v>
      </c>
      <c r="C4" s="6">
        <f>IF($B$2=Baza!$A$2,IFERROR(Obliczenia!B4,IFERROR(IF(Kalkulator!$D$14=VLOOKUP(Kalkulator!$D$14,Baza!$D$8:$D$10,1,0),Baza!$H$3,0),Baza!$H$5)))</f>
        <v>2800</v>
      </c>
      <c r="H4" t="s">
        <v>23</v>
      </c>
      <c r="I4" s="6" t="str">
        <f>IF($H$4=Kalkulator!$C$10,Obliczenia!$C$2*1.23,"")</f>
        <v/>
      </c>
      <c r="N4" s="6"/>
      <c r="O4">
        <f>IF(AND(B2=Baza!A3,Kalkulator!D25="TAK",Obliczenia!N3=Baza!U36),Baza!V30,IF(AND(B2=Baza!A3,Kalkulator!D25="TAK",Obliczenia!N3=Baza!U37),Baza!V31,IF(AND(B2=Baza!A3,Kalkulator!D25="TAK",Obliczenia!N3=Baza!U38),Baza!V32,0)))</f>
        <v>0</v>
      </c>
    </row>
    <row r="5" spans="1:15">
      <c r="A5" t="s">
        <v>69</v>
      </c>
      <c r="C5" s="6" cm="1">
        <f t="array" ref="C5">_xlfn.IFS(Kalkulator!$D$12=Baza!$A$2,Baza!$J$3,Kalkulator!$D$12=Baza!$A$3,Baza!$J$4)</f>
        <v>2000</v>
      </c>
      <c r="D5" s="6"/>
      <c r="E5" s="6"/>
      <c r="H5">
        <v>1</v>
      </c>
    </row>
    <row r="6" spans="1:15">
      <c r="A6" t="s">
        <v>1</v>
      </c>
      <c r="C6" s="6" cm="1">
        <f t="array" ref="C6">_xlfn.IFS(Kalkulator!$D$12=Baza!$A$2,Baza!$L$3,Kalkulator!$D$12=Baza!$A$3,Baza!$L$4)</f>
        <v>6000</v>
      </c>
      <c r="D6" s="6"/>
      <c r="E6" s="6"/>
      <c r="H6">
        <v>3</v>
      </c>
    </row>
    <row r="7" spans="1:15">
      <c r="A7" t="s">
        <v>70</v>
      </c>
      <c r="C7" s="6" cm="1">
        <f t="array" ref="C7">_xlfn.IFS(Kalkulator!$D$12=Baza!$A$2,Baza!$N$3,Kalkulator!$D$12=Baza!$A$3,Baza!$N$4)</f>
        <v>600</v>
      </c>
    </row>
    <row r="20" spans="1:4">
      <c r="A20" t="s">
        <v>59</v>
      </c>
      <c r="B20" s="6">
        <f>Kalkulator!$D$19</f>
        <v>0</v>
      </c>
      <c r="C20" s="6">
        <v>0</v>
      </c>
    </row>
    <row r="21" spans="1:4">
      <c r="A21" t="s">
        <v>60</v>
      </c>
      <c r="B21" s="6">
        <f>IF(Kalkulator!D20=Obliczenia!$H$2,Baza!V4,0)</f>
        <v>0</v>
      </c>
      <c r="C21" s="6">
        <f>IF(B20=H2,B21,0)</f>
        <v>0</v>
      </c>
    </row>
    <row r="22" spans="1:4">
      <c r="A22" t="s">
        <v>8</v>
      </c>
      <c r="B22" s="6">
        <f>IF(Kalkulator!D21=Obliczenia!$H$2,Baza!V5,0)</f>
        <v>0</v>
      </c>
      <c r="C22" s="6">
        <f>B22</f>
        <v>0</v>
      </c>
    </row>
    <row r="23" spans="1:4">
      <c r="A23" t="s">
        <v>97</v>
      </c>
      <c r="B23" s="6">
        <f>IF(Kalkulator!D22=Obliczenia!$H$2,Baza!V11,0)</f>
        <v>0</v>
      </c>
      <c r="C23" s="6">
        <f>IF(B2=Baza!$A$2,Obliczenia!B23,0)</f>
        <v>0</v>
      </c>
    </row>
    <row r="24" spans="1:4">
      <c r="A24" t="s">
        <v>103</v>
      </c>
      <c r="B24" s="6">
        <f>IF(Kalkulator!D23=Obliczenia!H2,Baza!V13,0)</f>
        <v>0</v>
      </c>
      <c r="C24" s="6">
        <f>B24</f>
        <v>0</v>
      </c>
    </row>
    <row r="25" spans="1:4">
      <c r="A25" t="s">
        <v>98</v>
      </c>
      <c r="B25" s="6">
        <f>IF(Kalkulator!D24=Obliczenia!$H$2,Baza!V8,0)</f>
        <v>0</v>
      </c>
      <c r="C25" s="6">
        <f>IF(Kalkulator!D14=Baza!D6,Obliczenia!B25,0)</f>
        <v>0</v>
      </c>
    </row>
    <row r="26" spans="1:4">
      <c r="A26" t="s">
        <v>110</v>
      </c>
      <c r="B26" s="6">
        <f>IF(Kalkulator!D25=Obliczenia!$H$2,Baza!V9,0)</f>
        <v>0</v>
      </c>
      <c r="C26" s="6">
        <f>IF($B$2=Baza!$A$3,Obliczenia!B26,0)</f>
        <v>0</v>
      </c>
    </row>
    <row r="27" spans="1:4">
      <c r="A27" t="s">
        <v>111</v>
      </c>
      <c r="B27" s="6">
        <f>IF(Kalkulator!D26=Obliczenia!$H$2,Baza!V12,0)</f>
        <v>0</v>
      </c>
      <c r="C27" s="6">
        <f>IF($B$2=Baza!$A$3,Obliczenia!B27,0)</f>
        <v>0</v>
      </c>
    </row>
    <row r="29" spans="1:4">
      <c r="A29" t="s">
        <v>9</v>
      </c>
      <c r="B29" s="6" cm="1">
        <f t="array" ref="B29">_xlfn.IFS($A$1=Baza!$D$8,Baza!$Q$2,$A$1=Baza!$D$9,Baza!$Q$3,$A$1=Baza!$D$10,Baza!$Q$3,$A$1=Baza!$D$11,Baza!$Q$4,$A$1=Baza!$D$12,Baza!$Q$4,$A$1=Baza!$D$13,Baza!$Q$4,$A$1=VLOOKUP($A$1,Baza!$D$3:$D$7,1,0),Baza!$Q$5)</f>
        <v>7000</v>
      </c>
      <c r="C29" s="6">
        <f>B29</f>
        <v>7000</v>
      </c>
    </row>
    <row r="30" spans="1:4">
      <c r="A30" t="s">
        <v>10</v>
      </c>
      <c r="B30" s="6" cm="1">
        <f t="array" ref="B30">_xlfn.IFS($A$1=Baza!$D$8,Baza!$T$2,$A$1=Baza!$D$9,Baza!$T$2,$A$1=Baza!$D$10,Baza!$T$2,$A$1=Baza!$D$11,Baza!$T$3,$A$1=Baza!$D$12,Baza!$T$3,$A$1=Baza!$D$13,Baza!$T$3,$A$1=VLOOKUP($A$1,Baza!$D$3:$D$7,1,0),Baza!$T$4)</f>
        <v>8000</v>
      </c>
      <c r="C30" s="6">
        <f>B30</f>
        <v>8000</v>
      </c>
      <c r="D30" s="6">
        <f>IF(Kalkulator!D12=Baza!A3,VLOOKUP(Kalkulator!D14,Baza!D3:F6,3,0)+SUM(C19:C27,C30),SUM(C3:C30))</f>
        <v>31258</v>
      </c>
    </row>
    <row r="33" spans="1:8">
      <c r="A33" t="s">
        <v>11</v>
      </c>
      <c r="B33" s="6" cm="1">
        <f t="array" ref="B33">_xlfn.IFS(Kalkulator!D31=Baza!B2,Baza!C2,Kalkulator!D31=Baza!B3,Baza!C3,Kalkulator!D31=Baza!B4,Baza!C4,Kalkulator!D31=Baza!B5,Baza!C5)</f>
        <v>10000</v>
      </c>
      <c r="C33" s="6">
        <f>$B$33</f>
        <v>10000</v>
      </c>
    </row>
    <row r="35" spans="1:8">
      <c r="A35" t="s">
        <v>13</v>
      </c>
      <c r="B35" s="6">
        <f>Kalkulator!$D$36</f>
        <v>0</v>
      </c>
      <c r="C35" s="6">
        <f>IF(Kalkulator!$D$31=Baza!$B$2,Obliczenia!$B$35,0)</f>
        <v>0</v>
      </c>
      <c r="D35" s="6"/>
    </row>
    <row r="38" spans="1:8">
      <c r="H38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348D2-32CC-4A8C-9CFB-DE4C6C62E41A}">
  <dimension ref="D2:Q14"/>
  <sheetViews>
    <sheetView workbookViewId="0">
      <selection activeCell="R3" sqref="R3"/>
    </sheetView>
  </sheetViews>
  <sheetFormatPr defaultRowHeight="14.4"/>
  <cols>
    <col min="4" max="4" width="12.88671875" bestFit="1" customWidth="1"/>
    <col min="5" max="5" width="31.77734375" bestFit="1" customWidth="1"/>
    <col min="13" max="13" width="12.88671875" bestFit="1" customWidth="1"/>
    <col min="14" max="14" width="31.77734375" bestFit="1" customWidth="1"/>
    <col min="16" max="16" width="31.77734375" bestFit="1" customWidth="1"/>
    <col min="17" max="17" width="30.6640625" bestFit="1" customWidth="1"/>
  </cols>
  <sheetData>
    <row r="2" spans="4:17">
      <c r="N2" t="s">
        <v>67</v>
      </c>
      <c r="Q2" t="s">
        <v>49</v>
      </c>
    </row>
    <row r="3" spans="4:17">
      <c r="D3" t="s">
        <v>46</v>
      </c>
      <c r="E3" t="s">
        <v>104</v>
      </c>
      <c r="F3" t="s">
        <v>95</v>
      </c>
      <c r="M3" t="str">
        <f>Kalkulator!D12</f>
        <v>Pompa Ciepła</v>
      </c>
      <c r="N3" t="str" cm="1">
        <f t="array" ref="N3:N8">IF(M3=Baza!A2,_xlfn.UNIQUE(_xlfn._xlws.FILTER(E:E,E:E&lt;&gt;"")),_xlfn.UNIQUE(Baza!D3:D6))</f>
        <v>Eco Heat 1F mono - 6kW</v>
      </c>
      <c r="P3" t="str">
        <f>Kalkulator!D14</f>
        <v>Eco Heat 1F mono - 6kW</v>
      </c>
      <c r="Q3" t="str" cm="1">
        <f t="array" ref="Q3:Q4">IF(P3=E14,_xlfn.UNIQUE(F13:F14),IF(P3=E3,_xlfn.UNIQUE(F3:F4),IF(P3=E5,_xlfn.UNIQUE(F5:F6),IF(P3=E7,_xlfn.UNIQUE(F7:F8),IF(P3=E9,_xlfn.UNIQUE(F9:F10),IF(P3=E11,_xlfn.UNIQUE(F11:F12),""))))))</f>
        <v>1 obieg - 1 - 1 pompa obiegowa</v>
      </c>
    </row>
    <row r="4" spans="4:17">
      <c r="E4" t="s">
        <v>104</v>
      </c>
      <c r="F4" t="s">
        <v>96</v>
      </c>
      <c r="N4" t="str">
        <v>Eco Heat 3F mono - 8kW</v>
      </c>
      <c r="Q4" t="str">
        <v>2 obiegi - 1 - 2 pompy obiegowe</v>
      </c>
    </row>
    <row r="5" spans="4:17">
      <c r="E5" t="s">
        <v>105</v>
      </c>
      <c r="F5" t="s">
        <v>95</v>
      </c>
      <c r="N5" t="str">
        <v>Eco Heat 3F mono - 10kW</v>
      </c>
    </row>
    <row r="6" spans="4:17">
      <c r="E6" t="s">
        <v>105</v>
      </c>
      <c r="F6" t="s">
        <v>96</v>
      </c>
      <c r="N6" t="str">
        <v>Eco Heat 3F mono - 12kW</v>
      </c>
    </row>
    <row r="7" spans="4:17">
      <c r="E7" t="s">
        <v>106</v>
      </c>
      <c r="F7" t="s">
        <v>95</v>
      </c>
      <c r="N7" t="str">
        <v>Eco Heat 3F mono - 14kW</v>
      </c>
    </row>
    <row r="8" spans="4:17">
      <c r="E8" t="s">
        <v>106</v>
      </c>
      <c r="F8" t="s">
        <v>96</v>
      </c>
      <c r="N8" t="str">
        <v>Eco Heat 3Fmono - 16kW</v>
      </c>
    </row>
    <row r="9" spans="4:17">
      <c r="E9" t="s">
        <v>107</v>
      </c>
      <c r="F9" t="s">
        <v>51</v>
      </c>
    </row>
    <row r="10" spans="4:17">
      <c r="E10" t="s">
        <v>107</v>
      </c>
      <c r="F10" t="s">
        <v>52</v>
      </c>
    </row>
    <row r="11" spans="4:17">
      <c r="E11" t="s">
        <v>108</v>
      </c>
      <c r="F11" t="s">
        <v>51</v>
      </c>
    </row>
    <row r="12" spans="4:17">
      <c r="E12" t="s">
        <v>108</v>
      </c>
      <c r="F12" t="s">
        <v>52</v>
      </c>
    </row>
    <row r="13" spans="4:17">
      <c r="E13" t="s">
        <v>109</v>
      </c>
      <c r="F13" t="s">
        <v>51</v>
      </c>
    </row>
    <row r="14" spans="4:17">
      <c r="E14" t="s">
        <v>109</v>
      </c>
      <c r="F1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</vt:i4>
      </vt:variant>
    </vt:vector>
  </HeadingPairs>
  <TitlesOfParts>
    <vt:vector size="7" baseType="lpstr">
      <vt:lpstr>Kalkulator</vt:lpstr>
      <vt:lpstr>Raty kredytowe</vt:lpstr>
      <vt:lpstr>Kredyt</vt:lpstr>
      <vt:lpstr>Baza</vt:lpstr>
      <vt:lpstr>Obliczenia</vt:lpstr>
      <vt:lpstr>Arkusz1</vt:lpstr>
      <vt:lpstr>Kalkulator!Obszar_wydruku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Rutkowski</dc:creator>
  <cp:lastModifiedBy>Supreme Energy</cp:lastModifiedBy>
  <dcterms:created xsi:type="dcterms:W3CDTF">2015-06-05T18:19:34Z</dcterms:created>
  <dcterms:modified xsi:type="dcterms:W3CDTF">2025-05-02T06:03:54Z</dcterms:modified>
</cp:coreProperties>
</file>