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en_skoroszyt"/>
  <mc:AlternateContent xmlns:mc="http://schemas.openxmlformats.org/markup-compatibility/2006">
    <mc:Choice Requires="x15">
      <x15ac:absPath xmlns:x15ac="http://schemas.microsoft.com/office/spreadsheetml/2010/11/ac" url="C:\Moje dokumenty\EcoRun\Kalkulator Pro Energy\W TRAKCIE\"/>
    </mc:Choice>
  </mc:AlternateContent>
  <xr:revisionPtr revIDLastSave="0" documentId="13_ncr:1_{CE5A557B-C7AE-4232-9C01-7E15CA9AE126}" xr6:coauthVersionLast="47" xr6:coauthVersionMax="47" xr10:uidLastSave="{00000000-0000-0000-0000-000000000000}"/>
  <workbookProtection workbookAlgorithmName="SHA-512" workbookHashValue="2B5NZ3j2/y6LhHEP8p8V3Qm+9ZjLYymm8y8Jych/YgHfiec3aHyWjS6UWb0/+KA4Esc7NtrhDrUGeBXcTin2PQ==" workbookSaltValue="isT2+XIMdq5XuVBLszanpg==" workbookSpinCount="100000" lockStructure="1"/>
  <bookViews>
    <workbookView xWindow="28680" yWindow="-810" windowWidth="29040" windowHeight="15720" tabRatio="701" xr2:uid="{00000000-000D-0000-FFFF-FFFF00000000}"/>
  </bookViews>
  <sheets>
    <sheet name="Kalkulator" sheetId="3" r:id="rId1"/>
    <sheet name="Raty kredytowe" sheetId="7" r:id="rId2"/>
    <sheet name="Kredyt" sheetId="6" state="veryHidden" r:id="rId3"/>
    <sheet name="Baza" sheetId="1" state="veryHidden" r:id="rId4"/>
    <sheet name="Obliczenia" sheetId="2" state="veryHidden" r:id="rId5"/>
    <sheet name="Marża ER" sheetId="5" state="veryHidden" r:id="rId6"/>
    <sheet name="Marża PE" sheetId="9" state="veryHidden" r:id="rId7"/>
    <sheet name="Dofinansowanie" sheetId="8" state="veryHidden" r:id="rId8"/>
    <sheet name="Informator" sheetId="10" state="veryHidden" r:id="rId9"/>
  </sheets>
  <definedNames>
    <definedName name="_xlnm.Print_Area" localSheetId="0">Kalkulator!$A$1:$I$44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7" i="1" l="1"/>
  <c r="AB16" i="1"/>
  <c r="AB15" i="1"/>
  <c r="I17" i="2" l="1"/>
  <c r="B3" i="2" l="1" a="1"/>
  <c r="B3" i="2" s="1"/>
  <c r="N114" i="1" l="1"/>
  <c r="N115" i="1" s="1"/>
  <c r="N116" i="1" s="1"/>
  <c r="N117" i="1" s="1"/>
  <c r="N118" i="1" s="1"/>
  <c r="N119" i="1" s="1"/>
  <c r="N120" i="1" s="1"/>
  <c r="N121" i="1" s="1"/>
  <c r="N122" i="1" s="1"/>
  <c r="N123" i="1" s="1"/>
  <c r="N124" i="1" s="1"/>
  <c r="N125" i="1" s="1"/>
  <c r="N126" i="1" s="1"/>
  <c r="N127" i="1" s="1"/>
  <c r="N128" i="1" s="1"/>
  <c r="N129" i="1" s="1"/>
  <c r="N130" i="1" s="1"/>
  <c r="N131" i="1" s="1"/>
  <c r="N132" i="1" s="1"/>
  <c r="N133" i="1" s="1"/>
  <c r="N134" i="1" s="1"/>
  <c r="N135" i="1" s="1"/>
  <c r="N136" i="1" s="1"/>
  <c r="N137" i="1" s="1"/>
  <c r="N138" i="1" s="1"/>
  <c r="N139" i="1" s="1"/>
  <c r="N140" i="1" s="1"/>
  <c r="N141" i="1" s="1"/>
  <c r="N142" i="1" s="1"/>
  <c r="N143" i="1" s="1"/>
  <c r="N144" i="1" s="1"/>
  <c r="N145" i="1" s="1"/>
  <c r="N146" i="1" s="1"/>
  <c r="N147" i="1" s="1"/>
  <c r="N148" i="1" s="1"/>
  <c r="N149" i="1" s="1"/>
  <c r="N150" i="1" s="1"/>
  <c r="N151" i="1" s="1"/>
  <c r="N152" i="1" s="1"/>
  <c r="N153" i="1" s="1"/>
  <c r="N154" i="1" s="1"/>
  <c r="N155" i="1" s="1"/>
  <c r="N156" i="1" s="1"/>
  <c r="N157" i="1" s="1"/>
  <c r="N158" i="1" s="1"/>
  <c r="N159" i="1" s="1"/>
  <c r="N160" i="1" s="1"/>
  <c r="N161" i="1" s="1"/>
  <c r="N162" i="1" s="1"/>
  <c r="N163" i="1" s="1"/>
  <c r="N164" i="1" s="1"/>
  <c r="N165" i="1" s="1"/>
  <c r="N166" i="1" s="1"/>
  <c r="N167" i="1" s="1"/>
  <c r="N168" i="1" s="1"/>
  <c r="E22" i="3"/>
  <c r="P5" i="2" l="1" a="1"/>
  <c r="P5" i="2" s="1"/>
  <c r="D35" i="2"/>
  <c r="F33" i="2" l="1"/>
  <c r="AE16" i="9" l="1"/>
  <c r="AE15" i="9"/>
  <c r="AE14" i="9"/>
  <c r="AE13" i="9"/>
  <c r="AE12" i="9"/>
  <c r="AE11" i="9"/>
  <c r="AE10" i="9"/>
  <c r="AE9" i="9"/>
  <c r="AE8" i="9"/>
  <c r="AE7" i="9"/>
  <c r="AE6" i="9"/>
  <c r="AE5" i="9"/>
  <c r="AE4" i="9"/>
  <c r="AE7" i="5"/>
  <c r="AE3" i="5"/>
  <c r="AE4" i="5"/>
  <c r="AE5" i="5"/>
  <c r="AE6" i="5"/>
  <c r="AE8" i="5"/>
  <c r="AE10" i="5"/>
  <c r="AE9" i="5"/>
  <c r="F12" i="3" a="1"/>
  <c r="F12" i="3" s="1"/>
  <c r="F13" i="3" a="1"/>
  <c r="F13" i="3" s="1"/>
  <c r="F14" i="3" a="1"/>
  <c r="F14" i="3" s="1"/>
  <c r="S16" i="5" l="1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AI111" i="9"/>
  <c r="AJ111" i="9" s="1"/>
  <c r="O111" i="9"/>
  <c r="N111" i="9"/>
  <c r="H111" i="9"/>
  <c r="F111" i="9"/>
  <c r="E111" i="9"/>
  <c r="B111" i="9"/>
  <c r="L110" i="9"/>
  <c r="L111" i="9" s="1"/>
  <c r="I110" i="9"/>
  <c r="I111" i="9" s="1"/>
  <c r="C110" i="9"/>
  <c r="C111" i="9" s="1"/>
  <c r="J17" i="9"/>
  <c r="AB16" i="9"/>
  <c r="Y16" i="9"/>
  <c r="S16" i="9"/>
  <c r="P16" i="9"/>
  <c r="J16" i="9"/>
  <c r="AB15" i="9"/>
  <c r="Y15" i="9"/>
  <c r="S15" i="9"/>
  <c r="P15" i="9"/>
  <c r="J15" i="9"/>
  <c r="AB14" i="9"/>
  <c r="Y14" i="9"/>
  <c r="S14" i="9"/>
  <c r="P14" i="9"/>
  <c r="J14" i="9"/>
  <c r="AB13" i="9"/>
  <c r="Y13" i="9"/>
  <c r="S13" i="9"/>
  <c r="P13" i="9"/>
  <c r="J13" i="9"/>
  <c r="AB12" i="9"/>
  <c r="Y12" i="9"/>
  <c r="S12" i="9"/>
  <c r="P12" i="9"/>
  <c r="J12" i="9"/>
  <c r="AB11" i="9"/>
  <c r="Y11" i="9"/>
  <c r="S11" i="9"/>
  <c r="P11" i="9"/>
  <c r="J11" i="9"/>
  <c r="AB10" i="9"/>
  <c r="Y10" i="9"/>
  <c r="S10" i="9"/>
  <c r="P10" i="9"/>
  <c r="J10" i="9"/>
  <c r="AB9" i="9"/>
  <c r="Y9" i="9"/>
  <c r="S9" i="9"/>
  <c r="P9" i="9"/>
  <c r="J9" i="9"/>
  <c r="A9" i="9"/>
  <c r="AB8" i="9"/>
  <c r="Y8" i="9"/>
  <c r="S8" i="9"/>
  <c r="P8" i="9"/>
  <c r="J8" i="9"/>
  <c r="G8" i="9"/>
  <c r="A8" i="9"/>
  <c r="AB7" i="9"/>
  <c r="Y7" i="9"/>
  <c r="S7" i="9"/>
  <c r="P7" i="9"/>
  <c r="J7" i="9"/>
  <c r="G7" i="9"/>
  <c r="A7" i="9"/>
  <c r="AB6" i="9"/>
  <c r="Y6" i="9"/>
  <c r="S6" i="9"/>
  <c r="P6" i="9"/>
  <c r="J6" i="9"/>
  <c r="G6" i="9"/>
  <c r="A6" i="9"/>
  <c r="AB5" i="9"/>
  <c r="Y5" i="9"/>
  <c r="S5" i="9"/>
  <c r="P5" i="9"/>
  <c r="J5" i="9"/>
  <c r="G5" i="9"/>
  <c r="AB4" i="9"/>
  <c r="Y4" i="9"/>
  <c r="S4" i="9"/>
  <c r="P4" i="9"/>
  <c r="J4" i="9"/>
  <c r="G4" i="9"/>
  <c r="AI3" i="9"/>
  <c r="AH4" i="9" s="1"/>
  <c r="AI4" i="9" l="1"/>
  <c r="AI5" i="9" s="1"/>
  <c r="AI6" i="9" s="1"/>
  <c r="AH5" i="9" l="1"/>
  <c r="AH6" i="9"/>
  <c r="AI7" i="9"/>
  <c r="AH7" i="9"/>
  <c r="AI8" i="9" l="1"/>
  <c r="AH8" i="9"/>
  <c r="AH9" i="9" l="1"/>
  <c r="AI9" i="9"/>
  <c r="AH10" i="9" l="1"/>
  <c r="AI10" i="9"/>
  <c r="AH11" i="9" l="1"/>
  <c r="AI11" i="9"/>
  <c r="AH12" i="9" l="1"/>
  <c r="AI12" i="9"/>
  <c r="AH13" i="9" l="1"/>
  <c r="AI13" i="9"/>
  <c r="AH14" i="9" l="1"/>
  <c r="AI14" i="9"/>
  <c r="AH15" i="9" l="1"/>
  <c r="AI15" i="9"/>
  <c r="AH16" i="9" l="1"/>
  <c r="AI16" i="9"/>
  <c r="AB15" i="5" l="1"/>
  <c r="AB14" i="5"/>
  <c r="AB13" i="5"/>
  <c r="AB12" i="5"/>
  <c r="AB11" i="5"/>
  <c r="AB10" i="5"/>
  <c r="AB9" i="5"/>
  <c r="AB8" i="5"/>
  <c r="AB7" i="5"/>
  <c r="AB6" i="5"/>
  <c r="AB5" i="5"/>
  <c r="AB4" i="5"/>
  <c r="AB3" i="5"/>
  <c r="Y15" i="5"/>
  <c r="Y14" i="5"/>
  <c r="Y13" i="5"/>
  <c r="Y12" i="5"/>
  <c r="Y11" i="5"/>
  <c r="Y10" i="5"/>
  <c r="Y9" i="5"/>
  <c r="Y8" i="5"/>
  <c r="Y7" i="5"/>
  <c r="Y6" i="5"/>
  <c r="Y5" i="5"/>
  <c r="Y4" i="5"/>
  <c r="Y3" i="5"/>
  <c r="S15" i="5" l="1"/>
  <c r="S14" i="5"/>
  <c r="S13" i="5"/>
  <c r="S12" i="5"/>
  <c r="S11" i="5"/>
  <c r="S10" i="5"/>
  <c r="S9" i="5"/>
  <c r="S8" i="5"/>
  <c r="S7" i="5"/>
  <c r="S6" i="5"/>
  <c r="S5" i="5"/>
  <c r="S4" i="5"/>
  <c r="S3" i="5"/>
  <c r="O4" i="8" l="1"/>
  <c r="E13" i="2" l="1" a="1"/>
  <c r="E13" i="2" s="1"/>
  <c r="E4" i="8" l="1"/>
  <c r="AB23" i="1" l="1"/>
  <c r="AB22" i="1"/>
  <c r="AB21" i="1"/>
  <c r="D11" i="2"/>
  <c r="B16" i="2" l="1"/>
  <c r="F1" i="2"/>
  <c r="H31" i="2" l="1" a="1"/>
  <c r="H31" i="2" s="1"/>
  <c r="AI2" i="5"/>
  <c r="AH3" i="5" s="1"/>
  <c r="AI3" i="5" l="1"/>
  <c r="AI4" i="5" s="1"/>
  <c r="AH5" i="5" s="1"/>
  <c r="P4" i="5"/>
  <c r="P3" i="5"/>
  <c r="AI5" i="5" l="1"/>
  <c r="AH4" i="5"/>
  <c r="AI6" i="5"/>
  <c r="AH6" i="5"/>
  <c r="P5" i="5"/>
  <c r="AI7" i="5" l="1"/>
  <c r="AH7" i="5"/>
  <c r="P6" i="5"/>
  <c r="AI8" i="5" l="1"/>
  <c r="AH8" i="5"/>
  <c r="P7" i="5"/>
  <c r="AI9" i="5" l="1"/>
  <c r="AH9" i="5"/>
  <c r="P8" i="5"/>
  <c r="AI10" i="5" l="1"/>
  <c r="AH10" i="5"/>
  <c r="P9" i="5"/>
  <c r="AI11" i="5" l="1"/>
  <c r="AH11" i="5"/>
  <c r="P10" i="5"/>
  <c r="P11" i="5" l="1"/>
  <c r="AI12" i="5"/>
  <c r="AH12" i="5"/>
  <c r="P12" i="5" l="1"/>
  <c r="AI13" i="5"/>
  <c r="AH13" i="5"/>
  <c r="P13" i="5" l="1"/>
  <c r="AI14" i="5"/>
  <c r="AH14" i="5"/>
  <c r="AI15" i="5" l="1"/>
  <c r="AH15" i="5"/>
  <c r="P14" i="5"/>
  <c r="P15" i="5" l="1"/>
  <c r="H18" i="1" l="1" a="1"/>
  <c r="H18" i="1" s="1"/>
  <c r="E20" i="3" l="1"/>
  <c r="C25" i="3"/>
  <c r="B19" i="2" l="1" a="1"/>
  <c r="B19" i="2" s="1"/>
  <c r="C19" i="2" s="1"/>
  <c r="B26" i="2"/>
  <c r="C26" i="2" s="1"/>
  <c r="J10" i="5" l="1"/>
  <c r="J9" i="5"/>
  <c r="J8" i="5"/>
  <c r="J4" i="5"/>
  <c r="J5" i="5"/>
  <c r="J6" i="5"/>
  <c r="J7" i="5"/>
  <c r="J3" i="5"/>
  <c r="C16" i="2" l="1"/>
  <c r="B18" i="2"/>
  <c r="C18" i="2" s="1"/>
  <c r="N5" i="2"/>
  <c r="B17" i="2"/>
  <c r="L109" i="5"/>
  <c r="I109" i="5"/>
  <c r="C109" i="5"/>
  <c r="J3" i="6" l="1"/>
  <c r="J2" i="6"/>
  <c r="K2" i="6" s="1"/>
  <c r="F3" i="6"/>
  <c r="G12" i="7" s="1"/>
  <c r="F2" i="6"/>
  <c r="D12" i="7" s="1"/>
  <c r="I3" i="6"/>
  <c r="I2" i="6"/>
  <c r="D23" i="2"/>
  <c r="B35" i="2"/>
  <c r="C35" i="2" s="1"/>
  <c r="B23" i="2"/>
  <c r="E17" i="2" l="1"/>
  <c r="D10" i="7"/>
  <c r="K3" i="6"/>
  <c r="G10" i="7"/>
  <c r="B15" i="2"/>
  <c r="C15" i="2" s="1"/>
  <c r="B13" i="2"/>
  <c r="C13" i="2" s="1"/>
  <c r="B14" i="2"/>
  <c r="C14" i="2" s="1"/>
  <c r="B9" i="2" l="1"/>
  <c r="C9" i="2" s="1"/>
  <c r="B8" i="2"/>
  <c r="C8" i="2" s="1"/>
  <c r="B7" i="2"/>
  <c r="C7" i="2" s="1"/>
  <c r="B2" i="2"/>
  <c r="B24" i="2" s="1" a="1"/>
  <c r="B24" i="2" s="1"/>
  <c r="O20" i="2" l="1"/>
  <c r="D1" i="2"/>
  <c r="G9" i="2" s="1" a="1"/>
  <c r="G9" i="2" s="1"/>
  <c r="I24" i="2" a="1"/>
  <c r="I24" i="2" s="1"/>
  <c r="B27" i="2"/>
  <c r="C27" i="2" s="1"/>
  <c r="K9" i="2"/>
  <c r="C3" i="2"/>
  <c r="K8" i="2"/>
  <c r="L8" i="2"/>
  <c r="L16" i="2"/>
  <c r="B22" i="2" a="1"/>
  <c r="B22" i="2" s="1"/>
  <c r="C22" i="2" s="1"/>
  <c r="C24" i="2"/>
  <c r="K11" i="2"/>
  <c r="K10" i="2"/>
  <c r="B25" i="2"/>
  <c r="C25" i="2" s="1"/>
  <c r="C5" i="2"/>
  <c r="K6" i="2"/>
  <c r="K7" i="2"/>
  <c r="B4" i="2"/>
  <c r="C4" i="2" s="1"/>
  <c r="B21" i="2"/>
  <c r="C21" i="2" s="1"/>
  <c r="K5" i="2"/>
  <c r="K4" i="2"/>
  <c r="D20" i="2"/>
  <c r="K3" i="2"/>
  <c r="D24" i="2"/>
  <c r="H4" i="8" s="1"/>
  <c r="B110" i="5"/>
  <c r="C110" i="5" s="1"/>
  <c r="H37" i="2" l="1"/>
  <c r="H11" i="2" a="1"/>
  <c r="H11" i="2" s="1"/>
  <c r="F6" i="2" a="1"/>
  <c r="F6" i="2" s="1"/>
  <c r="B6" i="2" a="1"/>
  <c r="B6" i="2" s="1"/>
  <c r="C6" i="2" s="1"/>
  <c r="L17" i="2" a="1"/>
  <c r="L17" i="2" s="1"/>
  <c r="D6" i="2" a="1"/>
  <c r="D6" i="2" s="1"/>
  <c r="D2" i="2" s="1"/>
  <c r="D21" i="3" s="1"/>
  <c r="D8" i="2" a="1"/>
  <c r="D8" i="2" s="1"/>
  <c r="C23" i="2"/>
  <c r="G8" i="2" a="1"/>
  <c r="G8" i="2" s="1"/>
  <c r="M6" i="8" a="1"/>
  <c r="M6" i="8" s="1"/>
  <c r="B20" i="2" a="1"/>
  <c r="B20" i="2" s="1"/>
  <c r="C20" i="2" s="1"/>
  <c r="G33" i="2" a="1"/>
  <c r="G33" i="2" s="1"/>
  <c r="B11" i="2" a="1"/>
  <c r="B11" i="2" s="1"/>
  <c r="C11" i="2" s="1"/>
  <c r="B10" i="2" a="1"/>
  <c r="B10" i="2" s="1"/>
  <c r="C10" i="2" s="1"/>
  <c r="F11" i="2" a="1"/>
  <c r="F11" i="2" s="1"/>
  <c r="B33" i="2" a="1"/>
  <c r="B33" i="2" s="1"/>
  <c r="D33" i="2" s="1" a="1"/>
  <c r="D33" i="2" s="1"/>
  <c r="H12" i="2" a="1"/>
  <c r="H12" i="2" s="1"/>
  <c r="C28" i="2" a="1"/>
  <c r="C28" i="2" s="1"/>
  <c r="E33" i="2"/>
  <c r="D10" i="2" a="1"/>
  <c r="D10" i="2" s="1"/>
  <c r="F8" i="2" a="1"/>
  <c r="F8" i="2" s="1"/>
  <c r="N11" i="2" a="1"/>
  <c r="N11" i="2" s="1"/>
  <c r="B5" i="2" a="1"/>
  <c r="B5" i="2" s="1"/>
  <c r="E1" i="2"/>
  <c r="F16" i="3" s="1"/>
  <c r="A1" i="9"/>
  <c r="D5" i="2" a="1"/>
  <c r="D5" i="2" s="1"/>
  <c r="B108" i="5"/>
  <c r="C17" i="2"/>
  <c r="AA32" i="1" a="1"/>
  <c r="AA32" i="1" s="1"/>
  <c r="K12" i="2"/>
  <c r="B4" i="8"/>
  <c r="F24" i="2" a="1"/>
  <c r="F24" i="2" s="1"/>
  <c r="G4" i="8"/>
  <c r="E24" i="2"/>
  <c r="G17" i="3" s="1"/>
  <c r="R106" i="5" l="1"/>
  <c r="R108" i="5"/>
  <c r="E6" i="2" a="1"/>
  <c r="E6" i="2" s="1"/>
  <c r="H30" i="2" s="1" a="1"/>
  <c r="H30" i="2" s="1"/>
  <c r="AG109" i="9"/>
  <c r="AJ109" i="9"/>
  <c r="AJ108" i="9" a="1"/>
  <c r="AJ108" i="9" s="1"/>
  <c r="AA108" i="9" a="1"/>
  <c r="AA108" i="9" s="1"/>
  <c r="AA109" i="9"/>
  <c r="Z111" i="9" s="1"/>
  <c r="AA111" i="9" s="1"/>
  <c r="AD109" i="9"/>
  <c r="AC111" i="9" s="1"/>
  <c r="AD111" i="9" s="1"/>
  <c r="AG108" i="9" a="1"/>
  <c r="AG108" i="9" s="1"/>
  <c r="AD108" i="9" a="1"/>
  <c r="AD108" i="9" s="1"/>
  <c r="X109" i="9"/>
  <c r="W111" i="9" s="1"/>
  <c r="X111" i="9" s="1"/>
  <c r="AG108" i="5"/>
  <c r="AF110" i="5" s="1"/>
  <c r="AG110" i="5" s="1"/>
  <c r="X107" i="5" a="1"/>
  <c r="X107" i="5" s="1"/>
  <c r="AD108" i="5"/>
  <c r="AC110" i="5" s="1"/>
  <c r="AD110" i="5" s="1"/>
  <c r="AA108" i="5"/>
  <c r="Z110" i="5" s="1"/>
  <c r="AA110" i="5" s="1"/>
  <c r="AA107" i="5" a="1"/>
  <c r="AA107" i="5" s="1"/>
  <c r="AJ107" i="5" a="1"/>
  <c r="AJ107" i="5" s="1"/>
  <c r="X108" i="5"/>
  <c r="W110" i="5" s="1"/>
  <c r="X110" i="5" s="1"/>
  <c r="AG107" i="5" a="1"/>
  <c r="AG107" i="5" s="1"/>
  <c r="AD107" i="5" a="1"/>
  <c r="AD107" i="5" s="1"/>
  <c r="AJ108" i="5"/>
  <c r="U109" i="9"/>
  <c r="T111" i="9" s="1"/>
  <c r="U111" i="9" s="1"/>
  <c r="X108" i="9" a="1"/>
  <c r="X108" i="9" s="1"/>
  <c r="U107" i="5" a="1"/>
  <c r="U107" i="5" s="1"/>
  <c r="U108" i="5"/>
  <c r="T110" i="5" s="1"/>
  <c r="U110" i="5" s="1"/>
  <c r="I109" i="9" a="1"/>
  <c r="I109" i="9" s="1"/>
  <c r="R109" i="9"/>
  <c r="Q111" i="9" s="1"/>
  <c r="R111" i="9" s="1"/>
  <c r="R108" i="9" a="1"/>
  <c r="R108" i="9" s="1"/>
  <c r="AI110" i="5"/>
  <c r="AJ110" i="5" s="1"/>
  <c r="AF111" i="9"/>
  <c r="AG111" i="9" s="1"/>
  <c r="O109" i="9" a="1"/>
  <c r="O109" i="9" s="1"/>
  <c r="C109" i="9" a="1"/>
  <c r="C109" i="9" s="1"/>
  <c r="F109" i="9" a="1"/>
  <c r="F109" i="9" s="1"/>
  <c r="L109" i="9" a="1"/>
  <c r="L109" i="9" s="1"/>
  <c r="C108" i="5" a="1"/>
  <c r="C108" i="5" s="1"/>
  <c r="F108" i="5" a="1"/>
  <c r="F108" i="5" s="1"/>
  <c r="E110" i="5" s="1"/>
  <c r="F110" i="5" s="1"/>
  <c r="L108" i="5" a="1"/>
  <c r="L108" i="5" s="1"/>
  <c r="K110" i="5" s="1"/>
  <c r="L110" i="5" s="1"/>
  <c r="O108" i="5" a="1"/>
  <c r="O108" i="5" s="1"/>
  <c r="N110" i="5" s="1"/>
  <c r="O110" i="5" s="1"/>
  <c r="I108" i="5" a="1"/>
  <c r="I108" i="5" s="1"/>
  <c r="H110" i="5" s="1"/>
  <c r="I110" i="5" s="1"/>
  <c r="G24" i="2"/>
  <c r="F17" i="3" s="1"/>
  <c r="J4" i="8"/>
  <c r="E29" i="2" l="1"/>
  <c r="I30" i="2" a="1"/>
  <c r="I30" i="2" s="1"/>
  <c r="C30" i="2" a="1"/>
  <c r="C30" i="2" s="1"/>
  <c r="R107" i="5" l="1" a="1"/>
  <c r="R107" i="5" s="1"/>
  <c r="Q110" i="5"/>
  <c r="R110" i="5" s="1"/>
  <c r="C29" i="2" s="1" a="1"/>
  <c r="C29" i="2" s="1"/>
  <c r="E30" i="2" s="1" a="1"/>
  <c r="E30" i="2" s="1"/>
  <c r="D29" i="2" l="1"/>
  <c r="E31" i="2" l="1" a="1"/>
  <c r="E31" i="2" s="1"/>
  <c r="D30" i="2" a="1"/>
  <c r="D30" i="2" s="1"/>
  <c r="F30" i="2" l="1"/>
  <c r="C2" i="2"/>
  <c r="D35" i="3"/>
  <c r="D31" i="2"/>
  <c r="D10" i="10" l="1"/>
  <c r="I4" i="2"/>
  <c r="I3" i="2"/>
  <c r="D36" i="3"/>
  <c r="K4" i="8" s="1"/>
  <c r="D37" i="3" l="1"/>
  <c r="D11" i="10"/>
  <c r="L4" i="8" l="1"/>
  <c r="M4" i="8" a="1"/>
  <c r="M4" i="8" s="1"/>
  <c r="E6" i="10"/>
  <c r="E3" i="6"/>
  <c r="G11" i="7" s="1"/>
  <c r="E2" i="6"/>
  <c r="G2" i="6" s="1"/>
  <c r="N4" i="8" l="1"/>
  <c r="P4" i="8" s="1"/>
  <c r="N6" i="8"/>
  <c r="Q4" i="8"/>
  <c r="J3" i="2" s="1"/>
  <c r="Q7" i="8"/>
  <c r="O7" i="8"/>
  <c r="G3" i="6"/>
  <c r="G13" i="7" s="1"/>
  <c r="D11" i="7"/>
  <c r="L2" i="6"/>
  <c r="M2" i="6" s="1"/>
  <c r="D15" i="7" s="1"/>
  <c r="D13" i="7"/>
  <c r="F28" i="3" l="1"/>
  <c r="D6" i="10"/>
  <c r="D8" i="10" s="1"/>
  <c r="J2" i="2" s="1"/>
  <c r="J4" i="2" s="1"/>
  <c r="J5" i="2" s="1"/>
  <c r="D39" i="3" s="1"/>
  <c r="L3" i="6"/>
  <c r="M3" i="6" s="1"/>
  <c r="G15" i="7" s="1"/>
  <c r="G31" i="3" l="1"/>
  <c r="D12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<sst xmlns="http://schemas.openxmlformats.org/spreadsheetml/2006/main" count="402" uniqueCount="245">
  <si>
    <t>Panele</t>
  </si>
  <si>
    <t>Konstrukcja</t>
  </si>
  <si>
    <t>Falownik</t>
  </si>
  <si>
    <t>Magazyn energii</t>
  </si>
  <si>
    <t>Elektryka</t>
  </si>
  <si>
    <t>Drobnica elektryczna</t>
  </si>
  <si>
    <t>Prace Gruntowe</t>
  </si>
  <si>
    <t>Montaż</t>
  </si>
  <si>
    <t>Koszty dodatkowe</t>
  </si>
  <si>
    <t>Nazwa</t>
  </si>
  <si>
    <t>Cena netto/moduł [zł]</t>
  </si>
  <si>
    <t>typ konstrukcji</t>
  </si>
  <si>
    <t>cena/moduł</t>
  </si>
  <si>
    <t>moc</t>
  </si>
  <si>
    <t>min moc instalacji</t>
  </si>
  <si>
    <t>max moc paneli</t>
  </si>
  <si>
    <t>cena</t>
  </si>
  <si>
    <t>falownik</t>
  </si>
  <si>
    <t>nazwa</t>
  </si>
  <si>
    <t>pojemność [kWh]</t>
  </si>
  <si>
    <t>min moc</t>
  </si>
  <si>
    <t>max moc</t>
  </si>
  <si>
    <t>min</t>
  </si>
  <si>
    <t>max</t>
  </si>
  <si>
    <t>obsługa</t>
  </si>
  <si>
    <t>Dach skośny - Blachodachówka</t>
  </si>
  <si>
    <t>Transport</t>
  </si>
  <si>
    <t>Apollo Panda AL1206 - 300W</t>
  </si>
  <si>
    <t>Dach skośny - Blacha trapezowa</t>
  </si>
  <si>
    <t>Zwyżka</t>
  </si>
  <si>
    <t>Dach skośny - Gont bitumiczny/Papa</t>
  </si>
  <si>
    <t>optymalizatory</t>
  </si>
  <si>
    <t>Dach skośny - Blacha w rąbek</t>
  </si>
  <si>
    <t>stała stawka</t>
  </si>
  <si>
    <t>Dodatkowy kabel</t>
  </si>
  <si>
    <t>Dach skośny - Dachówka ceramiczna</t>
  </si>
  <si>
    <t>Magazyn Ciepła</t>
  </si>
  <si>
    <t>Dach skośny - Moduły na ekierkach, montaż inwazyjny, dwugwint</t>
  </si>
  <si>
    <t>Wakacje</t>
  </si>
  <si>
    <t>Dach płaski - Membrana/Papa</t>
  </si>
  <si>
    <t>Ppoż</t>
  </si>
  <si>
    <t>Dach płaski - Moduły na konstrukcji wsporczej, montaż inwazyjny, dwugwint</t>
  </si>
  <si>
    <t>Montaż ME</t>
  </si>
  <si>
    <t>Konstrukcja gruntowa</t>
  </si>
  <si>
    <t>Sofar Solar</t>
  </si>
  <si>
    <t>Brak</t>
  </si>
  <si>
    <t>Wyłącznik PPoż</t>
  </si>
  <si>
    <t>Dach skośny - Blacha płaska</t>
  </si>
  <si>
    <t>Integrator do istniejącej instalacji PV</t>
  </si>
  <si>
    <t>Dach płaski - moduły na ekierkach, montaż bezinwazyjny, balast (nomitech</t>
  </si>
  <si>
    <t>Konstrukcja klejono - wkręcana</t>
  </si>
  <si>
    <t>Rodzaj instalacji</t>
  </si>
  <si>
    <t>Rodzaj kostrukcji</t>
  </si>
  <si>
    <t>Konstrukcja montażowa</t>
  </si>
  <si>
    <t>Moduły</t>
  </si>
  <si>
    <t>Inwerter</t>
  </si>
  <si>
    <t xml:space="preserve">Optymalizatory </t>
  </si>
  <si>
    <t xml:space="preserve">Przekop </t>
  </si>
  <si>
    <t xml:space="preserve">Dodatkowy kabel </t>
  </si>
  <si>
    <t>Zapas/drobnica</t>
  </si>
  <si>
    <t>Eco Wakacje</t>
  </si>
  <si>
    <t>Marża EcoRun</t>
  </si>
  <si>
    <t>Pakiet</t>
  </si>
  <si>
    <t>Skarbonka</t>
  </si>
  <si>
    <t>Narzut dodany przez handlowca:</t>
  </si>
  <si>
    <t>                                                                                                                                             </t>
  </si>
  <si>
    <t>Optymalizatory</t>
  </si>
  <si>
    <t>szt.</t>
  </si>
  <si>
    <t>Przekop</t>
  </si>
  <si>
    <t>m.</t>
  </si>
  <si>
    <t xml:space="preserve">Moduły PV </t>
  </si>
  <si>
    <t>Cena jednostkowa</t>
  </si>
  <si>
    <t>Cena dla instalacji</t>
  </si>
  <si>
    <t>moc [kWp]</t>
  </si>
  <si>
    <t>TAK</t>
  </si>
  <si>
    <t>NIE</t>
  </si>
  <si>
    <t>Inwerter sieciowy</t>
  </si>
  <si>
    <t>Inwerter hybrydowy</t>
  </si>
  <si>
    <t xml:space="preserve">Falownik </t>
  </si>
  <si>
    <t>Narzut</t>
  </si>
  <si>
    <t>Magazyn Energii</t>
  </si>
  <si>
    <t>PV + Inwerter sieciowy</t>
  </si>
  <si>
    <t xml:space="preserve">PV + Inwerter hybrydowy </t>
  </si>
  <si>
    <t>PV + Inwerter hybrydowy + Magazyn Energii</t>
  </si>
  <si>
    <t>Marża EcoRun Inwerter Hybrydowy + ME + Apollo</t>
  </si>
  <si>
    <t>Marża Ecorun Inwerter sieciowy + Apollo</t>
  </si>
  <si>
    <t>Marża Supreme Inwerter sieciowy + Apollo</t>
  </si>
  <si>
    <t>Marża Supreme Inwerter Hybrydowy + ME + Apollo</t>
  </si>
  <si>
    <t>Marża</t>
  </si>
  <si>
    <t>Rabat Ekstra</t>
  </si>
  <si>
    <t>Rabat</t>
  </si>
  <si>
    <t>Standard</t>
  </si>
  <si>
    <t>Standard Plus</t>
  </si>
  <si>
    <t>Cena bazowa</t>
  </si>
  <si>
    <t>Cena netto</t>
  </si>
  <si>
    <t>Cena brutto</t>
  </si>
  <si>
    <t>Klient biznesowy</t>
  </si>
  <si>
    <t>Klient indywidualny</t>
  </si>
  <si>
    <t>Ilość faz</t>
  </si>
  <si>
    <t>Zarządzanie energią</t>
  </si>
  <si>
    <t>Rozszerzenie gwarancji do 10 lat - falownik 1 fazowy</t>
  </si>
  <si>
    <t>Rozszerzenie gwarancji do 10 lat - falownik 3 fazowy</t>
  </si>
  <si>
    <t>MOC</t>
  </si>
  <si>
    <t>ILOŚĆ</t>
  </si>
  <si>
    <t>BRAK</t>
  </si>
  <si>
    <t>-</t>
  </si>
  <si>
    <t>Pojemność</t>
  </si>
  <si>
    <t>Magazyn</t>
  </si>
  <si>
    <t>Proponowany</t>
  </si>
  <si>
    <t>Inbank</t>
  </si>
  <si>
    <t>Santander</t>
  </si>
  <si>
    <t>Kwota instalacji</t>
  </si>
  <si>
    <t>Wkład włany</t>
  </si>
  <si>
    <t>Kwota kredytu</t>
  </si>
  <si>
    <t>RRSO</t>
  </si>
  <si>
    <t>RRSO/m-c</t>
  </si>
  <si>
    <t>Okres kredytowania</t>
  </si>
  <si>
    <t>M-c</t>
  </si>
  <si>
    <t>Rata</t>
  </si>
  <si>
    <t>Ilość lat</t>
  </si>
  <si>
    <t>Cena instalacji brutto</t>
  </si>
  <si>
    <t>Wkład własny</t>
  </si>
  <si>
    <t>RATA MIESIĘCZNA</t>
  </si>
  <si>
    <t>Inbank - kredyt do 10 lat</t>
  </si>
  <si>
    <t>Warunki</t>
  </si>
  <si>
    <t>Maksymalna kwota kredytu</t>
  </si>
  <si>
    <t>Ilość lat kredytu:</t>
  </si>
  <si>
    <t>Wpłata własna:</t>
  </si>
  <si>
    <t>Trina Vertex TSM-450</t>
  </si>
  <si>
    <t>Marża Ecorun Inwerter sieciowy + trina 430</t>
  </si>
  <si>
    <t>Marża EcoRun Inwerter Hybrydowy + trina 430</t>
  </si>
  <si>
    <t>Marża EcoRun Inwerter Hybrydowy + ME + trina 430</t>
  </si>
  <si>
    <t>Marża Supreme Inwerter sieciowy + trina 430</t>
  </si>
  <si>
    <t>Marża Supreme Inwerter Hybrydowy + trina 430</t>
  </si>
  <si>
    <t>Marża Supreme Inwerter Hybrydowy + ME + trina 430</t>
  </si>
  <si>
    <t>Moduł bilansowania energii Eniga</t>
  </si>
  <si>
    <t>Modernizacja rozdzielni elektrycznej</t>
  </si>
  <si>
    <t>Prosument 2.0 Eniga</t>
  </si>
  <si>
    <t>Klient nie chce</t>
  </si>
  <si>
    <t>Pylontech 10K  (10 lat gwarancji)</t>
  </si>
  <si>
    <t>Pylontech 15K  (10 lat gwarancji)</t>
  </si>
  <si>
    <t>Pylontech 20K  (10 lat gwarancji)</t>
  </si>
  <si>
    <t>Sofar Solar 3kW - 1F (10 lat)</t>
  </si>
  <si>
    <t>Sofar Solar 4kW - 3F (10 lat)</t>
  </si>
  <si>
    <t>Sofar Solar 5kW - 3F (10 lat)</t>
  </si>
  <si>
    <t>Sofar Solar 6kW - 3F (10 lat)</t>
  </si>
  <si>
    <t>Sofar Solar 8kW - 3F (10 lat)</t>
  </si>
  <si>
    <t>Sofar Solar 10kW - 3F (10 lat)</t>
  </si>
  <si>
    <t>Sofar Solar 12kW - 3F (10 lat)</t>
  </si>
  <si>
    <t>Sofar Solar 15kW - 3F (10 lat)</t>
  </si>
  <si>
    <t>Sofar Solar 17kW - 3F (10 lat)</t>
  </si>
  <si>
    <t>Sofar Solar 20kW - 3F (10 lat)</t>
  </si>
  <si>
    <t>Sofar Solar 25kW - 3F (10 lat)</t>
  </si>
  <si>
    <t>Sofar Solar 30kW - 3F (10 lat)</t>
  </si>
  <si>
    <t>Sofar Solar 33kW - 3F (10 lat)</t>
  </si>
  <si>
    <t>Sofar Solar 36kW - 3F (10 lat)</t>
  </si>
  <si>
    <t>Sofar Solar 40kW - 3F (10 lat)</t>
  </si>
  <si>
    <t>Sofar Solar 45kW - 3F (10 lat)</t>
  </si>
  <si>
    <t>Sofar Solar 50kW - 3F (10 lat)</t>
  </si>
  <si>
    <t>Sofar Solar 22kW - 3F (10 lat)</t>
  </si>
  <si>
    <t>Panel Plus</t>
  </si>
  <si>
    <t>Santander  - kredyt do 10 lat</t>
  </si>
  <si>
    <t>Bateria Sofar 5K</t>
  </si>
  <si>
    <t>Bateria Sofar 10K</t>
  </si>
  <si>
    <t>Bateria Sofar 15K</t>
  </si>
  <si>
    <t>Bateria Sofar 20K</t>
  </si>
  <si>
    <t>Sofar Hybrydowy 3kW - 1F</t>
  </si>
  <si>
    <t>Sofar Hybrydowy 5 kW- 3F</t>
  </si>
  <si>
    <t>Sofar Hybrydowy 6 kW- 3F</t>
  </si>
  <si>
    <t>Sofar Hybrydowy 8 kW- 3F</t>
  </si>
  <si>
    <t>Sofar Hybrydowy 10 kW- 3F</t>
  </si>
  <si>
    <t>Sofar Hybrydowy 15 kW- 3F</t>
  </si>
  <si>
    <t>Sofar Hybrydowy 20 kW- 3F</t>
  </si>
  <si>
    <t>Cena</t>
  </si>
  <si>
    <t>Wzrost o</t>
  </si>
  <si>
    <t>Typy konstrukcji Wiatraki</t>
  </si>
  <si>
    <t>Dach skośny - Blacha Trapezowa</t>
  </si>
  <si>
    <t>Dach płaski - ekierki, montaż inwazyjny, dwugwint</t>
  </si>
  <si>
    <t>ME Deye</t>
  </si>
  <si>
    <t>Bateria Deye 5,12kWh</t>
  </si>
  <si>
    <t>Bateria Deye 10,24kWh</t>
  </si>
  <si>
    <t>Bateria Deye 15,36kWh</t>
  </si>
  <si>
    <t>Bateria Deye 20,48kWh</t>
  </si>
  <si>
    <t>Montaż wiatraka</t>
  </si>
  <si>
    <t>Wiatrak 3kW</t>
  </si>
  <si>
    <t>Montaż paneli</t>
  </si>
  <si>
    <t xml:space="preserve">PV + Deye hyb. + ME + Trina </t>
  </si>
  <si>
    <t>Moja elektrownia wiatrowa</t>
  </si>
  <si>
    <t>Turbina</t>
  </si>
  <si>
    <t>Limit</t>
  </si>
  <si>
    <t>Wiatrak 3 kW</t>
  </si>
  <si>
    <t>ME Deye (dach ekierka)</t>
  </si>
  <si>
    <t>ME</t>
  </si>
  <si>
    <t>Kwota dofinansowania</t>
  </si>
  <si>
    <t>Kwota dotacji</t>
  </si>
  <si>
    <t>Dowfinansowanie / 1 kW</t>
  </si>
  <si>
    <t>1 kW</t>
  </si>
  <si>
    <t>Deye Hybrydowy 3kW - 1F</t>
  </si>
  <si>
    <t>Deye Hybrydowy 5 kW- 3F</t>
  </si>
  <si>
    <t>Deye Hybrydowy 6 kW- 3F</t>
  </si>
  <si>
    <t>Deye Hybrydowy 8 kW- 3F</t>
  </si>
  <si>
    <t>Deye Hybrydowy 10 kW- 3F</t>
  </si>
  <si>
    <t>Deye Hybrydowy 12 kW- 3F</t>
  </si>
  <si>
    <t>Deye Hybrydowy 15 kW- 3F</t>
  </si>
  <si>
    <t>Deye Hybrydowy 20 kW- 3F</t>
  </si>
  <si>
    <t>netto</t>
  </si>
  <si>
    <t>brutto</t>
  </si>
  <si>
    <t>Dotacja</t>
  </si>
  <si>
    <t>Wiatrak</t>
  </si>
  <si>
    <t>Kwota na dotacje ME</t>
  </si>
  <si>
    <t>Dofinansowanie MEW</t>
  </si>
  <si>
    <t>Konstrukcja grunt wartość</t>
  </si>
  <si>
    <t>Inwerter hybrydowy + Magazyn Energii + Wiatr</t>
  </si>
  <si>
    <t>Zapas (wiatr)</t>
  </si>
  <si>
    <t>Inwerter u klienta</t>
  </si>
  <si>
    <t>Zapas (hyb+ME+wiatr)</t>
  </si>
  <si>
    <t>Magazyn u klienta</t>
  </si>
  <si>
    <t>Nie posiada Deye/Solax</t>
  </si>
  <si>
    <t>Posiada Deye/Solax</t>
  </si>
  <si>
    <t>Komunikat</t>
  </si>
  <si>
    <t>Możliwość sprzedaży tylko jeśli jest zamontowany</t>
  </si>
  <si>
    <t>inwerter Daye/Solax z ME</t>
  </si>
  <si>
    <t>inwerter i ME Daye/Solax, wybierz rodzaj instalacji:</t>
  </si>
  <si>
    <t>Wybierz rodzaj instalacji:</t>
  </si>
  <si>
    <t>Jamat Aura 3kW</t>
  </si>
  <si>
    <t>Turbina wiatrowa                                                                                                     </t>
  </si>
  <si>
    <t>Kwota brutto - rabat 500 zł</t>
  </si>
  <si>
    <t>3F</t>
  </si>
  <si>
    <t>1F</t>
  </si>
  <si>
    <t xml:space="preserve">Marża ProEnergy </t>
  </si>
  <si>
    <t>Ulga Termomodernizacyjna</t>
  </si>
  <si>
    <t>Cena brutto po dotacjach</t>
  </si>
  <si>
    <t>Ulga termo</t>
  </si>
  <si>
    <t>PV + inwerter 1 fazowy + Magazyn Energii + Turbina</t>
  </si>
  <si>
    <t>PV + Inwerter hybrydowy + Magazyn Energii + Turbina</t>
  </si>
  <si>
    <t>PV + Turbina</t>
  </si>
  <si>
    <t>Inwerter hybrydowy + Magazyn Energii + Turbina</t>
  </si>
  <si>
    <t>Magazyn Energii + Turbina</t>
  </si>
  <si>
    <t>JEŻELI(ORAZ('C:\Moje dokumenty\EcoRun\Kalkulator Pro Energy\aktualne\[Kalkulator-PV-ME-2025.08.18.xlsm]Kalkulator'!$D$12='C:\Moje dokumenty\EcoRun\Kalkulator Pro Energy\aktualne\[Kalkulator-PV-ME-2025.08.18.xlsm]Baza'!$A$4;'C:\Moje dokumenty\EcoRun\Kalkulator Pro Energy\aktualne\[Kalkulator-PV-ME-2025.08.18.xlsm]Kalkulator'!$D$15&lt;&gt;'C:\Moje dokumenty\EcoRun\Kalkulator Pro Energy\aktualne\[Kalkulator-PV-ME-2025.08.18.xlsm]Inwerter'!$K$14);"&lt;- Zmień ilość faz !";JEŻELI('C:\Moje dokumenty\EcoRun\Kalkulator Pro Energy\aktualne\[Kalkulator-PV-ME-2025.08.18.xlsm]Kalkulator'!$D$12='C:\Moje dokumenty\EcoRun\Kalkulator Pro Energy\aktualne\[Kalkulator-PV-ME-2025.08.18.xlsm]Baza'!$A$4;"";JEŻELI(ORAZ(LUB('C:\Moje dokumenty\EcoRun\Kalkulator Pro Energy\aktualne\[Kalkulator-PV-ME-2025.08.18.xlsm]Kalkulator'!$E$17&gt;='C:\Moje dokumenty\EcoRun\Kalkulator Pro Energy\aktualne\[Kalkulator-PV-ME-2025.08.18.xlsm]Baza'!$I$11;'C:\Moje dokumenty\EcoRun\Kalkulator Pro Energy\aktualne\[Kalkulator-PV-ME-2025.08.18.xlsm]Kalkulator'!$E$17='C:\Moje dokumenty\EcoRun\Kalkulator Pro Energy\aktualne\[Kalkulator-PV-ME-2025.08.18.xlsm]Baza'!$I$9);'C:\Moje dokumenty\EcoRun\Kalkulator Pro Energy\aktualne\[Kalkulator-PV-ME-2025.08.18.xlsm]Kalkulator'!$D$15&lt;&gt;3);"&lt;- Zmień ilość faz !";"")))</t>
  </si>
  <si>
    <t>JEŻELI(Kalkulator!$D$12=Baza!$A$4;"";JEŻELI(CZY.BRAK(PODAJ.POZYCJĘ(Kalkulator!$D$19;Inwerter!$H$2#;0));"&lt;- Wybierz poprawny inwerter !";""))</t>
  </si>
  <si>
    <t>baza</t>
  </si>
  <si>
    <t>marża %</t>
  </si>
  <si>
    <t>bazowa ER</t>
  </si>
  <si>
    <t>ER_Kalkulator_B2C_10_09</t>
  </si>
  <si>
    <t>Aiko 455 - black frame (15/30lat)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</si>
</sst>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164" formatCode="#,##0.00\ &quot;zł&quot;"/>
    <numFmt numFmtId="165" formatCode=";;;"/>
    <numFmt numFmtId="166" formatCode="0.00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u/>
      <sz val="12"/>
      <color theme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rgb="FFEED1F7"/>
      <name val="Calibri"/>
      <family val="2"/>
      <scheme val="minor"/>
    </font>
    <font>
      <b/>
      <sz val="10"/>
      <color theme="1"/>
      <name val="Graphik Light"/>
      <family val="2"/>
    </font>
    <font>
      <sz val="10"/>
      <color theme="1"/>
      <name val="Graphik Light"/>
      <family val="2"/>
    </font>
    <font>
      <b/>
      <sz val="12"/>
      <color theme="1"/>
      <name val="Graphik Light"/>
      <family val="2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ED1F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10" fillId="0" borderId="0"/>
    <xf numFmtId="0" fontId="9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/>
    <xf numFmtId="44" fontId="3" fillId="0" borderId="0" xfId="1" applyFont="1"/>
    <xf numFmtId="0" fontId="3" fillId="0" borderId="0" xfId="0" applyFont="1" applyAlignment="1">
      <alignment vertical="center"/>
    </xf>
    <xf numFmtId="44" fontId="0" fillId="0" borderId="0" xfId="1" applyFont="1"/>
    <xf numFmtId="0" fontId="3" fillId="0" borderId="0" xfId="1" applyNumberFormat="1" applyFont="1"/>
    <xf numFmtId="0" fontId="4" fillId="0" borderId="0" xfId="0" applyFont="1"/>
    <xf numFmtId="2" fontId="0" fillId="0" borderId="0" xfId="0" applyNumberFormat="1"/>
    <xf numFmtId="0" fontId="0" fillId="0" borderId="0" xfId="1" applyNumberFormat="1" applyFont="1"/>
    <xf numFmtId="0" fontId="3" fillId="0" borderId="0" xfId="0" applyFont="1" applyAlignment="1">
      <alignment horizontal="left" vertical="center"/>
    </xf>
    <xf numFmtId="44" fontId="3" fillId="0" borderId="0" xfId="1" applyFont="1" applyAlignment="1">
      <alignment vertical="center"/>
    </xf>
    <xf numFmtId="164" fontId="0" fillId="0" borderId="0" xfId="0" applyNumberFormat="1"/>
    <xf numFmtId="0" fontId="0" fillId="0" borderId="0" xfId="0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/>
    </xf>
    <xf numFmtId="0" fontId="5" fillId="0" borderId="0" xfId="0" applyFont="1"/>
    <xf numFmtId="0" fontId="11" fillId="0" borderId="0" xfId="0" applyFont="1"/>
    <xf numFmtId="0" fontId="6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6" fillId="2" borderId="1" xfId="0" applyFont="1" applyFill="1" applyBorder="1" applyAlignment="1">
      <alignment horizontal="left" vertical="center"/>
    </xf>
    <xf numFmtId="0" fontId="0" fillId="0" borderId="0" xfId="0" applyProtection="1">
      <protection hidden="1"/>
    </xf>
    <xf numFmtId="0" fontId="14" fillId="0" borderId="3" xfId="0" applyFont="1" applyBorder="1" applyProtection="1">
      <protection hidden="1"/>
    </xf>
    <xf numFmtId="0" fontId="16" fillId="0" borderId="0" xfId="0" applyFont="1" applyProtection="1">
      <protection hidden="1"/>
    </xf>
    <xf numFmtId="164" fontId="0" fillId="0" borderId="0" xfId="0" applyNumberFormat="1" applyAlignment="1">
      <alignment horizontal="center" vertical="center"/>
    </xf>
    <xf numFmtId="0" fontId="14" fillId="0" borderId="9" xfId="0" applyFont="1" applyBorder="1" applyProtection="1">
      <protection hidden="1"/>
    </xf>
    <xf numFmtId="0" fontId="14" fillId="0" borderId="4" xfId="0" applyFont="1" applyBorder="1" applyAlignment="1" applyProtection="1">
      <alignment horizontal="center" vertical="center"/>
      <protection hidden="1"/>
    </xf>
    <xf numFmtId="3" fontId="14" fillId="0" borderId="4" xfId="0" applyNumberFormat="1" applyFont="1" applyBorder="1" applyAlignment="1" applyProtection="1">
      <alignment horizontal="center" vertical="center"/>
      <protection hidden="1"/>
    </xf>
    <xf numFmtId="164" fontId="14" fillId="0" borderId="4" xfId="0" applyNumberFormat="1" applyFont="1" applyBorder="1" applyAlignment="1" applyProtection="1">
      <alignment horizontal="center" vertical="center"/>
      <protection hidden="1"/>
    </xf>
    <xf numFmtId="164" fontId="14" fillId="0" borderId="10" xfId="0" applyNumberFormat="1" applyFont="1" applyBorder="1" applyAlignment="1" applyProtection="1">
      <alignment horizontal="center" vertical="center"/>
      <protection hidden="1"/>
    </xf>
    <xf numFmtId="0" fontId="13" fillId="4" borderId="5" xfId="0" applyFont="1" applyFill="1" applyBorder="1" applyProtection="1">
      <protection hidden="1"/>
    </xf>
    <xf numFmtId="164" fontId="13" fillId="4" borderId="6" xfId="0" applyNumberFormat="1" applyFont="1" applyFill="1" applyBorder="1" applyAlignment="1" applyProtection="1">
      <alignment horizontal="center" vertical="center"/>
      <protection hidden="1"/>
    </xf>
    <xf numFmtId="4" fontId="0" fillId="0" borderId="0" xfId="0" applyNumberFormat="1"/>
    <xf numFmtId="0" fontId="17" fillId="0" borderId="0" xfId="0" applyFont="1" applyAlignment="1">
      <alignment horizontal="left" vertical="center"/>
    </xf>
    <xf numFmtId="0" fontId="19" fillId="0" borderId="0" xfId="0" applyFont="1"/>
    <xf numFmtId="0" fontId="20" fillId="0" borderId="0" xfId="0" applyFont="1"/>
    <xf numFmtId="0" fontId="0" fillId="6" borderId="0" xfId="0" applyFill="1"/>
    <xf numFmtId="44" fontId="3" fillId="0" borderId="0" xfId="1" applyFont="1" applyFill="1" applyBorder="1" applyAlignment="1">
      <alignment vertical="center"/>
    </xf>
    <xf numFmtId="0" fontId="1" fillId="0" borderId="0" xfId="0" applyFont="1"/>
    <xf numFmtId="164" fontId="7" fillId="3" borderId="2" xfId="0" applyNumberFormat="1" applyFont="1" applyFill="1" applyBorder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center" vertical="center"/>
      <protection hidden="1"/>
    </xf>
    <xf numFmtId="0" fontId="7" fillId="3" borderId="1" xfId="0" applyFont="1" applyFill="1" applyBorder="1" applyAlignment="1" applyProtection="1">
      <alignment horizontal="center" vertical="center"/>
      <protection hidden="1"/>
    </xf>
    <xf numFmtId="0" fontId="18" fillId="0" borderId="0" xfId="0" applyFont="1"/>
    <xf numFmtId="2" fontId="18" fillId="0" borderId="0" xfId="0" applyNumberFormat="1" applyFont="1"/>
    <xf numFmtId="44" fontId="18" fillId="0" borderId="0" xfId="1" applyFont="1"/>
    <xf numFmtId="0" fontId="19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165" fontId="0" fillId="0" borderId="0" xfId="0" applyNumberFormat="1"/>
    <xf numFmtId="164" fontId="22" fillId="0" borderId="0" xfId="0" applyNumberFormat="1" applyFont="1"/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Protection="1">
      <protection locked="0"/>
    </xf>
    <xf numFmtId="166" fontId="0" fillId="0" borderId="0" xfId="0" applyNumberFormat="1"/>
    <xf numFmtId="0" fontId="6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>
      <alignment horizontal="center" vertical="center"/>
    </xf>
    <xf numFmtId="0" fontId="24" fillId="6" borderId="0" xfId="0" applyFont="1" applyFill="1"/>
    <xf numFmtId="164" fontId="7" fillId="6" borderId="1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 applyProtection="1">
      <alignment horizontal="center" vertical="center"/>
      <protection locked="0" hidden="1"/>
    </xf>
    <xf numFmtId="9" fontId="7" fillId="2" borderId="14" xfId="4" applyFont="1" applyFill="1" applyBorder="1" applyAlignment="1" applyProtection="1">
      <alignment horizontal="center" vertical="center"/>
      <protection locked="0" hidden="1"/>
    </xf>
    <xf numFmtId="164" fontId="8" fillId="3" borderId="1" xfId="0" applyNumberFormat="1" applyFont="1" applyFill="1" applyBorder="1" applyAlignment="1" applyProtection="1">
      <alignment horizontal="center" vertical="center"/>
      <protection locked="0" hidden="1"/>
    </xf>
    <xf numFmtId="164" fontId="7" fillId="3" borderId="12" xfId="0" applyNumberFormat="1" applyFont="1" applyFill="1" applyBorder="1" applyAlignment="1" applyProtection="1">
      <alignment horizontal="center" vertical="center"/>
      <protection hidden="1"/>
    </xf>
    <xf numFmtId="164" fontId="7" fillId="3" borderId="13" xfId="0" applyNumberFormat="1" applyFont="1" applyFill="1" applyBorder="1" applyAlignment="1" applyProtection="1">
      <alignment horizontal="center" vertical="center"/>
      <protection hidden="1"/>
    </xf>
    <xf numFmtId="0" fontId="6" fillId="4" borderId="11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 applyProtection="1">
      <alignment horizontal="center" vertical="center"/>
      <protection hidden="1"/>
    </xf>
    <xf numFmtId="0" fontId="23" fillId="4" borderId="12" xfId="0" applyFont="1" applyFill="1" applyBorder="1" applyAlignment="1">
      <alignment horizontal="center" vertical="center"/>
    </xf>
    <xf numFmtId="0" fontId="23" fillId="4" borderId="15" xfId="0" applyFont="1" applyFill="1" applyBorder="1" applyAlignment="1">
      <alignment horizontal="center" vertical="center"/>
    </xf>
    <xf numFmtId="0" fontId="23" fillId="4" borderId="13" xfId="0" applyFont="1" applyFill="1" applyBorder="1" applyAlignment="1">
      <alignment horizontal="center" vertical="center"/>
    </xf>
    <xf numFmtId="0" fontId="15" fillId="4" borderId="7" xfId="0" applyFont="1" applyFill="1" applyBorder="1" applyAlignment="1" applyProtection="1">
      <alignment horizontal="center"/>
      <protection hidden="1"/>
    </xf>
    <xf numFmtId="0" fontId="15" fillId="4" borderId="8" xfId="0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5" borderId="0" xfId="0" applyFill="1" applyAlignment="1">
      <alignment horizontal="center"/>
    </xf>
  </cellXfs>
  <cellStyles count="5">
    <cellStyle name="Hiperłącze 2" xfId="3" xr:uid="{069F1118-308F-4A0E-8B63-93FAA06C604F}"/>
    <cellStyle name="Normalny" xfId="0" builtinId="0"/>
    <cellStyle name="Normalny 2" xfId="2" xr:uid="{7B2FD09C-B134-4BF4-BB6A-24FA226B688B}"/>
    <cellStyle name="Procentowy" xfId="4" builtinId="5"/>
    <cellStyle name="Walutowy" xfId="1" builtinId="4"/>
  </cellStyles>
  <dxfs count="38">
    <dxf>
      <font>
        <color theme="1" tint="0.499984740745262"/>
      </font>
    </dxf>
    <dxf>
      <font>
        <color theme="1" tint="0.499984740745262"/>
      </font>
    </dxf>
    <dxf>
      <font>
        <color theme="0"/>
      </font>
      <fill>
        <patternFill>
          <bgColor theme="0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2"/>
        </patternFill>
      </fill>
    </dxf>
    <dxf>
      <font>
        <color theme="1"/>
      </font>
      <fill>
        <patternFill>
          <bgColor theme="2"/>
        </patternFill>
      </fill>
    </dxf>
    <dxf>
      <font>
        <color theme="0"/>
      </font>
    </dxf>
    <dxf>
      <font>
        <color auto="1"/>
      </font>
      <fill>
        <patternFill>
          <bgColor theme="2"/>
        </patternFill>
      </fill>
    </dxf>
    <dxf>
      <font>
        <color theme="0"/>
      </font>
    </dxf>
    <dxf>
      <font>
        <color theme="1"/>
      </font>
      <fill>
        <patternFill>
          <bgColor theme="2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5" tint="0.59996337778862885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2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EED1F7"/>
      </font>
    </dxf>
    <dxf>
      <font>
        <color rgb="FFEED1F7"/>
      </font>
    </dxf>
    <dxf>
      <font>
        <color theme="0"/>
      </font>
      <fill>
        <patternFill patternType="solid">
          <bgColor theme="0"/>
        </patternFill>
      </fill>
    </dxf>
    <dxf>
      <font>
        <color auto="1"/>
      </font>
      <fill>
        <patternFill patternType="solid">
          <bgColor rgb="FFEED1F7"/>
        </patternFill>
      </fill>
    </dxf>
    <dxf>
      <font>
        <color auto="1"/>
      </font>
      <fill>
        <patternFill patternType="solid">
          <bgColor rgb="FFEED1F7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auto="1"/>
      </font>
      <fill>
        <patternFill>
          <bgColor rgb="FFEED1F7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</dxf>
    <dxf>
      <font>
        <color auto="1"/>
      </font>
      <fill>
        <patternFill>
          <bgColor rgb="FFEED1F7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D1F7"/>
      <color rgb="FFA01FE1"/>
      <color rgb="FFE6BBF3"/>
      <color rgb="FFC765E5"/>
      <color rgb="FF8873DF"/>
      <color rgb="FF551A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112607</xdr:rowOff>
    </xdr:from>
    <xdr:to>
      <xdr:col>2</xdr:col>
      <xdr:colOff>3713481</xdr:colOff>
      <xdr:row>6</xdr:row>
      <xdr:rowOff>56455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EF53140C-5F3B-4B8A-81B1-356C5C495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607"/>
          <a:ext cx="4954483" cy="10328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0</xdr:colOff>
      <xdr:row>7</xdr:row>
      <xdr:rowOff>19050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EA05BF45-8E70-4D9B-BCFE-B5DBDCFBC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725150" cy="1282065"/>
        </a:xfrm>
        <a:prstGeom prst="rect">
          <a:avLst/>
        </a:prstGeom>
      </xdr:spPr>
    </xdr:pic>
    <xdr:clientData/>
  </xdr:twoCellAnchor>
  <xdr:twoCellAnchor editAs="oneCell">
    <xdr:from>
      <xdr:col>5</xdr:col>
      <xdr:colOff>1483995</xdr:colOff>
      <xdr:row>0</xdr:row>
      <xdr:rowOff>85725</xdr:rowOff>
    </xdr:from>
    <xdr:to>
      <xdr:col>7</xdr:col>
      <xdr:colOff>396240</xdr:colOff>
      <xdr:row>4</xdr:row>
      <xdr:rowOff>172357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A756E2A-7F23-453D-953E-9B3F1AE77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75145" y="85725"/>
          <a:ext cx="3632835" cy="7971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FA4FA-C6C0-409C-A4C2-52C305CFA288}">
  <sheetPr codeName="Arkusz1">
    <pageSetUpPr autoPageBreaks="0"/>
  </sheetPr>
  <dimension ref="A1:AT46"/>
  <sheetViews>
    <sheetView showGridLines="0" tabSelected="1" topLeftCell="A6" zoomScale="70" zoomScaleNormal="70" workbookViewId="0">
      <selection activeCell="D20" sqref="D20"/>
    </sheetView>
  </sheetViews>
  <sheetFormatPr defaultColWidth="0" defaultRowHeight="14.4" zeroHeight="1"/>
  <cols>
    <col min="1" max="2" width="8.88671875" customWidth="1"/>
    <col min="3" max="3" width="58.33203125" style="14" customWidth="1"/>
    <col min="4" max="4" width="61.109375" style="2" bestFit="1" customWidth="1"/>
    <col min="5" max="5" width="8.88671875" customWidth="1"/>
    <col min="6" max="6" width="25" customWidth="1"/>
    <col min="7" max="7" width="21.109375" customWidth="1"/>
    <col min="8" max="9" width="8.88671875" customWidth="1"/>
    <col min="10" max="45" width="8.88671875" hidden="1" customWidth="1"/>
    <col min="46" max="46" width="0.5546875" hidden="1" customWidth="1"/>
    <col min="47" max="16384" width="8.88671875" hidden="1"/>
  </cols>
  <sheetData>
    <row r="1" spans="3:7"/>
    <row r="2" spans="3:7"/>
    <row r="3" spans="3:7"/>
    <row r="4" spans="3:7"/>
    <row r="5" spans="3:7"/>
    <row r="6" spans="3:7"/>
    <row r="7" spans="3:7"/>
    <row r="8" spans="3:7"/>
    <row r="9" spans="3:7" ht="11.4" customHeight="1" thickBot="1">
      <c r="C9" s="37" t="s">
        <v>243</v>
      </c>
    </row>
    <row r="10" spans="3:7" ht="18" customHeight="1" thickBot="1">
      <c r="C10" s="24" t="s">
        <v>97</v>
      </c>
    </row>
    <row r="11" spans="3:7" ht="18.600000000000001" thickBot="1">
      <c r="C11" s="20"/>
    </row>
    <row r="12" spans="3:7" ht="20.399999999999999" customHeight="1" thickBot="1">
      <c r="C12" s="20" t="s">
        <v>51</v>
      </c>
      <c r="D12" s="53" t="s">
        <v>234</v>
      </c>
      <c r="E12" s="50"/>
      <c r="F12" s="49" t="str" cm="1">
        <f t="array" ref="F12">IF(D12=Baza!A8,_xlfn.IFS(OR(D18=Baza!Z26,D19=Baza!Z26),IF(D12=Baza!A8,Baza!AV4,""),AND(D18=Baza!Z27,D19=Baza!Z27),""),IF(D12=Baza!A7,Baza!AV2,IF(AND(D12=Baza!A10,D19=Baza!Z26),Baza!AV7,"")))</f>
        <v/>
      </c>
    </row>
    <row r="13" spans="3:7" ht="18.600000000000001" thickBot="1">
      <c r="C13" s="20" t="s">
        <v>225</v>
      </c>
      <c r="D13" s="15" t="s">
        <v>224</v>
      </c>
      <c r="F13" s="49" t="str" cm="1">
        <f t="array" ref="F13">IF(D12=Baza!A8,_xlfn.IFS(OR(D18=Baza!Z26,D19=Baza!Z26),IF(D12=Baza!A8,Baza!AV5,""),AND(D18=Baza!Z27,D19=Baza!Z27),""),IF(D12=Baza!A7,Baza!AV3,IF(AND(D12=Baza!A10,D19=Baza!Z26),Baza!AV8,"")))</f>
        <v/>
      </c>
    </row>
    <row r="14" spans="3:7" ht="18.600000000000001" thickBot="1">
      <c r="C14" s="20" t="s">
        <v>53</v>
      </c>
      <c r="D14" s="53" t="s">
        <v>176</v>
      </c>
      <c r="F14" s="49" t="str" cm="1">
        <f t="array" ref="F14">IF(D12=Baza!A8,_xlfn.IFS(OR(D18=Baza!Z26,D19=Baza!Z26),IF(D12=Baza!A8,Baza!AV6,""),AND(D18=Baza!Z27,D19=Baza!Z27),""),IF(D12=Baza!A7,"",""))</f>
        <v/>
      </c>
    </row>
    <row r="15" spans="3:7" ht="18.600000000000001" thickBot="1">
      <c r="C15" s="20" t="s">
        <v>65</v>
      </c>
      <c r="D15" s="15"/>
      <c r="E15" s="21" t="s">
        <v>103</v>
      </c>
      <c r="F15" s="21" t="s">
        <v>102</v>
      </c>
      <c r="G15" s="21" t="s">
        <v>106</v>
      </c>
    </row>
    <row r="16" spans="3:7" ht="18.600000000000001" thickBot="1">
      <c r="C16" s="20" t="s">
        <v>70</v>
      </c>
      <c r="D16" s="53" t="s">
        <v>244</v>
      </c>
      <c r="E16" s="55">
        <v>7</v>
      </c>
      <c r="F16" s="44" t="str">
        <f>Obliczenia!$E$1</f>
        <v>3,185 kwp</v>
      </c>
      <c r="G16" s="44" t="s">
        <v>105</v>
      </c>
    </row>
    <row r="17" spans="3:8" ht="18.600000000000001" thickBot="1">
      <c r="C17" s="22" t="s">
        <v>107</v>
      </c>
      <c r="D17" s="54" t="s">
        <v>180</v>
      </c>
      <c r="E17" s="16"/>
      <c r="F17" s="45" t="str">
        <f>Obliczenia!$G$24</f>
        <v>5 kw</v>
      </c>
      <c r="G17" s="45" t="str">
        <f>Obliczenia!$E$24</f>
        <v>10,24 kwp</v>
      </c>
    </row>
    <row r="18" spans="3:8" ht="18.600000000000001" thickBot="1">
      <c r="C18" s="22" t="s">
        <v>216</v>
      </c>
      <c r="D18" s="54" t="s">
        <v>218</v>
      </c>
      <c r="E18" s="38"/>
      <c r="F18" s="38"/>
      <c r="G18" s="38"/>
    </row>
    <row r="19" spans="3:8" ht="18.600000000000001" thickBot="1">
      <c r="C19" s="22" t="s">
        <v>214</v>
      </c>
      <c r="D19" s="54" t="s">
        <v>218</v>
      </c>
      <c r="E19" s="38"/>
    </row>
    <row r="20" spans="3:8" ht="18.600000000000001" thickBot="1">
      <c r="C20" s="20" t="s">
        <v>55</v>
      </c>
      <c r="D20" s="53" t="s">
        <v>198</v>
      </c>
      <c r="E20" s="38" t="str">
        <f>IF(AND(E16&gt;8,D20="Sofar Hybrydowy 3KW - 1F"),"&lt;- Zmień inwerter !","")</f>
        <v/>
      </c>
    </row>
    <row r="21" spans="3:8" ht="18.600000000000001" thickBot="1">
      <c r="C21" s="20" t="s">
        <v>108</v>
      </c>
      <c r="D21" s="45" t="str">
        <f>Obliczenia!$D$2</f>
        <v>Deye Hybrydowy 5 kW- 3F</v>
      </c>
    </row>
    <row r="22" spans="3:8" ht="18.600000000000001" thickBot="1">
      <c r="C22" s="20" t="s">
        <v>98</v>
      </c>
      <c r="D22" s="53">
        <v>3</v>
      </c>
      <c r="E22" s="38" t="str">
        <f>IF(AND(E16&lt;&gt;8,D22=1,D12=Baza!$A$6),"&lt;- Zmień ilość faz !","")</f>
        <v/>
      </c>
    </row>
    <row r="23" spans="3:8" ht="18.600000000000001" thickBot="1">
      <c r="C23" s="20" t="s">
        <v>46</v>
      </c>
      <c r="D23" s="54" t="s">
        <v>75</v>
      </c>
      <c r="E23" s="18"/>
    </row>
    <row r="24" spans="3:8" ht="18.600000000000001" thickBot="1">
      <c r="C24" s="20" t="s">
        <v>66</v>
      </c>
      <c r="D24" s="53">
        <v>0</v>
      </c>
      <c r="E24" s="19" t="s">
        <v>67</v>
      </c>
    </row>
    <row r="25" spans="3:8" ht="18.600000000000001" thickBot="1">
      <c r="C25" s="20" t="str">
        <f>IF(OR(D12=Baza!A3,Kalkulator!D12=Baza!A4),"Rozszerzenie gwarancji do 10 lat","")</f>
        <v/>
      </c>
      <c r="D25" s="54" t="s">
        <v>75</v>
      </c>
    </row>
    <row r="26" spans="3:8" ht="18.600000000000001" thickBot="1">
      <c r="C26" s="20" t="s">
        <v>68</v>
      </c>
      <c r="D26" s="53">
        <v>0</v>
      </c>
      <c r="E26" s="19" t="s">
        <v>69</v>
      </c>
      <c r="F26" s="67" t="s">
        <v>210</v>
      </c>
      <c r="G26" s="67"/>
      <c r="H26" s="67"/>
    </row>
    <row r="27" spans="3:8" ht="18.600000000000001" thickBot="1">
      <c r="C27" s="20" t="s">
        <v>34</v>
      </c>
      <c r="D27" s="53">
        <v>0</v>
      </c>
      <c r="E27" s="19" t="s">
        <v>69</v>
      </c>
      <c r="F27" s="68" t="s">
        <v>193</v>
      </c>
      <c r="G27" s="68"/>
      <c r="H27" s="68"/>
    </row>
    <row r="28" spans="3:8" ht="18.600000000000001" thickBot="1">
      <c r="C28" s="20" t="s">
        <v>136</v>
      </c>
      <c r="D28" s="54" t="s">
        <v>75</v>
      </c>
      <c r="F28" s="69">
        <f>Dofinansowanie!Q4</f>
        <v>28641.6895104</v>
      </c>
      <c r="G28" s="69"/>
      <c r="H28" s="69"/>
    </row>
    <row r="29" spans="3:8" ht="18.600000000000001" thickBot="1">
      <c r="C29" s="20" t="s">
        <v>60</v>
      </c>
      <c r="D29" s="53" t="s">
        <v>75</v>
      </c>
    </row>
    <row r="30" spans="3:8" ht="18.600000000000001" thickBot="1">
      <c r="C30" s="20" t="s">
        <v>29</v>
      </c>
      <c r="D30" s="53" t="s">
        <v>75</v>
      </c>
      <c r="F30" s="70" t="s">
        <v>230</v>
      </c>
      <c r="G30" s="71"/>
      <c r="H30" s="72"/>
    </row>
    <row r="31" spans="3:8" ht="18.600000000000001" thickBot="1">
      <c r="C31" s="20" t="s">
        <v>48</v>
      </c>
      <c r="D31" s="53" t="s">
        <v>75</v>
      </c>
      <c r="F31" s="63">
        <v>0.12</v>
      </c>
      <c r="G31" s="65">
        <f>Informator!$D$8</f>
        <v>3437.0027412479999</v>
      </c>
      <c r="H31" s="66"/>
    </row>
    <row r="32" spans="3:8" ht="18.600000000000001" thickBot="1">
      <c r="C32" s="20" t="s">
        <v>137</v>
      </c>
      <c r="D32" s="54" t="s">
        <v>75</v>
      </c>
    </row>
    <row r="33" spans="3:7" ht="18.600000000000001" thickBot="1">
      <c r="C33" s="20" t="s">
        <v>160</v>
      </c>
      <c r="D33" s="58" t="s">
        <v>75</v>
      </c>
    </row>
    <row r="34" spans="3:7" ht="32.4" customHeight="1" thickBot="1">
      <c r="C34" s="20" t="s">
        <v>62</v>
      </c>
      <c r="D34" s="57" t="s">
        <v>91</v>
      </c>
    </row>
    <row r="35" spans="3:7" ht="18.600000000000001" thickBot="1">
      <c r="C35" s="20" t="s">
        <v>93</v>
      </c>
      <c r="D35" s="43">
        <f>Obliczenia!$D$30</f>
        <v>53040.165759999996</v>
      </c>
      <c r="F35" s="15" t="s">
        <v>126</v>
      </c>
      <c r="G35" s="15" t="s">
        <v>127</v>
      </c>
    </row>
    <row r="36" spans="3:7" ht="18.600000000000001" thickBot="1">
      <c r="C36" s="20" t="s">
        <v>94</v>
      </c>
      <c r="D36" s="43">
        <f>Obliczenia!$C$2</f>
        <v>53040.165759999996</v>
      </c>
      <c r="F36" s="53">
        <v>4</v>
      </c>
      <c r="G36" s="62"/>
    </row>
    <row r="37" spans="3:7" ht="18.600000000000001" thickBot="1">
      <c r="C37" s="20" t="s">
        <v>95</v>
      </c>
      <c r="D37" s="43">
        <f>IF(Obliczenia!$I$3&lt;&gt;"",Obliczenia!$I$3,Obliczenia!$I$4)</f>
        <v>57283.379020799999</v>
      </c>
    </row>
    <row r="38" spans="3:7" ht="18.600000000000001" thickBot="1">
      <c r="C38" s="20"/>
      <c r="D38" s="17"/>
    </row>
    <row r="39" spans="3:7" ht="18.600000000000001" thickBot="1">
      <c r="C39" s="20" t="s">
        <v>231</v>
      </c>
      <c r="D39" s="43">
        <f>Obliczenia!J5</f>
        <v>25204.686769151998</v>
      </c>
    </row>
    <row r="40" spans="3:7" ht="18.600000000000001" thickBot="1">
      <c r="C40" s="20"/>
      <c r="D40" s="17"/>
    </row>
    <row r="41" spans="3:7" ht="18.600000000000001" thickBot="1">
      <c r="C41" s="20" t="s">
        <v>79</v>
      </c>
      <c r="D41" s="64"/>
      <c r="F41" s="13"/>
      <c r="G41" s="13"/>
    </row>
    <row r="42" spans="3:7"/>
    <row r="43" spans="3:7"/>
    <row r="44" spans="3:7"/>
    <row r="45" spans="3:7"/>
    <row r="46" spans="3:7"/>
  </sheetData>
  <sheetProtection algorithmName="SHA-512" hashValue="67jAdiSyhF2yogEWTU3MVhqqTDQ2q3ngkyCm7VsPbRkiQQrl3zz5lazMI6H3qSUZ+7ROQRvqf6/8pfv6NiLEoA==" saltValue="eIFyWhjkBEZRNIdlRj19ww==" spinCount="100000" sheet="1" selectLockedCells="1"/>
  <protectedRanges>
    <protectedRange sqref="C10 D12 D14 E16 D41 D16:D20 F36:G36 D22:D24 D26:D34" name="Rozstęp1"/>
    <protectedRange sqref="D25" name="Rozstęp1_1"/>
    <protectedRange sqref="F31" name="Rozstęp1_2"/>
  </protectedRanges>
  <mergeCells count="5">
    <mergeCell ref="G31:H31"/>
    <mergeCell ref="F26:H26"/>
    <mergeCell ref="F27:H27"/>
    <mergeCell ref="F28:H28"/>
    <mergeCell ref="F30:H30"/>
  </mergeCells>
  <conditionalFormatting sqref="C17">
    <cfRule type="expression" dxfId="35" priority="40">
      <formula>SEARCH("magazyn",$D$12)&gt;0</formula>
    </cfRule>
  </conditionalFormatting>
  <conditionalFormatting sqref="C29:D29">
    <cfRule type="expression" dxfId="24" priority="9">
      <formula>$D$12&lt;&gt;""</formula>
    </cfRule>
  </conditionalFormatting>
  <conditionalFormatting sqref="D17">
    <cfRule type="expression" dxfId="20" priority="41">
      <formula>SEARCH("magazyn",$D$12)&gt;0</formula>
    </cfRule>
  </conditionalFormatting>
  <conditionalFormatting sqref="D25">
    <cfRule type="expression" dxfId="13" priority="25">
      <formula>$C$25&lt;&gt;""</formula>
    </cfRule>
  </conditionalFormatting>
  <conditionalFormatting sqref="D32">
    <cfRule type="expression" dxfId="11" priority="28">
      <formula>SEARCH("Turbina",$D$12)&gt;0</formula>
    </cfRule>
  </conditionalFormatting>
  <dataValidations count="4">
    <dataValidation type="whole" allowBlank="1" showInputMessage="1" showErrorMessage="1" sqref="D26:D27" xr:uid="{BE871262-7C80-4B48-A211-C4D13E6770BF}">
      <formula1>0</formula1>
      <formula2>999</formula2>
    </dataValidation>
    <dataValidation type="whole" allowBlank="1" showInputMessage="1" showErrorMessage="1" sqref="D24" xr:uid="{EBE86348-4A82-4CE4-8428-55647D81F691}">
      <formula1>0</formula1>
      <formula2>100</formula2>
    </dataValidation>
    <dataValidation type="decimal" allowBlank="1" showInputMessage="1" showErrorMessage="1" sqref="G36" xr:uid="{B4279DCD-DB97-4A1E-A63F-183D7608AA2A}">
      <formula1>0</formula1>
      <formula2>100000</formula2>
    </dataValidation>
    <dataValidation type="list" allowBlank="1" showInputMessage="1" showErrorMessage="1" sqref="F31" xr:uid="{210E6E20-0782-4592-987A-E9CD2FFF78EA}">
      <formula1>"12%, 19%"</formula1>
    </dataValidation>
  </dataValidations>
  <pageMargins left="0.7" right="0.7" top="0.75" bottom="0.75" header="0.3" footer="0.3"/>
  <pageSetup paperSize="9" orientation="portrait" r:id="rId1"/>
  <drawing r:id="rId2"/>
  <picture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5" id="{FABC31EA-788A-439E-8EFF-6856636A5905}">
            <xm:f>OR($D$12=Baza!$A$8,$D$12=Baza!$A$9)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14:cfRule type="expression" priority="46" id="{72DCC4BA-E893-4E93-84C6-03311470B6C2}">
            <xm:f>OR($D$12=Baza!$A$6,$D$12=Baza!$A$7,$D$12=Baza!$A$10)</xm:f>
            <x14:dxf>
              <font>
                <color auto="1"/>
              </font>
              <fill>
                <patternFill>
                  <bgColor rgb="FFEED1F7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expression" priority="47" id="{95E3A7AF-2261-479E-B2C6-0D1FC0644631}">
            <xm:f>$D$12&lt;&gt;Baza!$A$8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14:cfRule type="expression" priority="48" id="{076B2285-FB1C-4277-821B-02BFFC15F06A}">
            <xm:f>$D$12=Baza!$A$8</xm:f>
            <x14:dxf>
              <font>
                <color auto="1"/>
              </font>
              <fill>
                <patternFill>
                  <bgColor rgb="FFEED1F7"/>
                </patternFill>
              </fill>
            </x14:dxf>
          </x14:cfRule>
          <xm:sqref>C18</xm:sqref>
        </x14:conditionalFormatting>
        <x14:conditionalFormatting xmlns:xm="http://schemas.microsoft.com/office/excel/2006/main">
          <x14:cfRule type="expression" priority="49" id="{1FBC6D9B-FDC3-40F9-9046-D88111D30898}">
            <xm:f>AND($D$12&lt;&gt;Baza!$A$8,$D$12&lt;&gt;Baza!$A$10)</xm:f>
            <x14:dxf>
              <font>
                <color theme="0"/>
              </font>
              <fill>
                <patternFill patternType="solid">
                  <bgColor theme="0"/>
                </patternFill>
              </fill>
            </x14:dxf>
          </x14:cfRule>
          <x14:cfRule type="expression" priority="50" id="{D87C6213-6F49-4E18-A5C7-31BB40982E06}">
            <xm:f>OR($D$12=Baza!$A$8,$D$12=Baza!$A$10)</xm:f>
            <x14:dxf>
              <font>
                <color auto="1"/>
              </font>
              <fill>
                <patternFill patternType="solid">
                  <bgColor rgb="FFEED1F7"/>
                </patternFill>
              </fill>
            </x14:dxf>
          </x14:cfRule>
          <xm:sqref>C19</xm:sqref>
        </x14:conditionalFormatting>
        <x14:conditionalFormatting xmlns:xm="http://schemas.microsoft.com/office/excel/2006/main">
          <x14:cfRule type="expression" priority="51" id="{D0151BD8-7BAD-43DD-8223-C2E10191DC7D}">
            <xm:f>OR($D$12=Baza!$A$6,$D$12=Baza!$A$9)</xm:f>
            <x14:dxf>
              <font>
                <color auto="1"/>
              </font>
              <fill>
                <patternFill patternType="solid">
                  <bgColor rgb="FFEED1F7"/>
                </patternFill>
              </fill>
            </x14:dxf>
          </x14:cfRule>
          <xm:sqref>C20</xm:sqref>
        </x14:conditionalFormatting>
        <x14:conditionalFormatting xmlns:xm="http://schemas.microsoft.com/office/excel/2006/main">
          <x14:cfRule type="expression" priority="4" id="{4544A4C8-203C-4CCE-AF25-D8699CED4C5A}">
            <xm:f>AND($D$12&lt;&gt;Baza!$A$8,$D$12&lt;&gt;Baza!$A$10)</xm:f>
            <x14:dxf>
              <font>
                <color theme="0"/>
              </font>
              <fill>
                <patternFill patternType="solid">
                  <bgColor theme="0"/>
                </patternFill>
              </fill>
            </x14:dxf>
          </x14:cfRule>
          <xm:sqref>C25</xm:sqref>
        </x14:conditionalFormatting>
        <x14:conditionalFormatting xmlns:xm="http://schemas.microsoft.com/office/excel/2006/main">
          <x14:cfRule type="expression" priority="35" id="{C26315D0-0423-4F07-8FFA-9A3131986AE0}">
            <xm:f>($D$12=Baza!$A$2)</xm:f>
            <x14:dxf>
              <font>
                <color rgb="FFEED1F7"/>
              </font>
            </x14:dxf>
          </x14:cfRule>
          <xm:sqref>C28</xm:sqref>
        </x14:conditionalFormatting>
        <x14:conditionalFormatting xmlns:xm="http://schemas.microsoft.com/office/excel/2006/main">
          <x14:cfRule type="expression" priority="26" id="{60237EF5-6323-4638-8C20-48905F453D3E}">
            <xm:f>($D$12=Baza!$A$2)</xm:f>
            <x14:dxf>
              <font>
                <color rgb="FFEED1F7"/>
              </font>
            </x14:dxf>
          </x14:cfRule>
          <xm:sqref>C32</xm:sqref>
        </x14:conditionalFormatting>
        <x14:conditionalFormatting xmlns:xm="http://schemas.microsoft.com/office/excel/2006/main">
          <x14:cfRule type="expression" priority="52" id="{58651DD2-7721-41E2-A10C-2086641E5C73}">
            <xm:f>OR($D$12=Baza!$A$7,$D$12=Baza!$A$8,$D$12=Baza!$A$10)</xm:f>
            <x14:dxf>
              <font>
                <color theme="0"/>
              </font>
              <fill>
                <patternFill patternType="solid">
                  <bgColor theme="0"/>
                </patternFill>
              </fill>
            </x14:dxf>
          </x14:cfRule>
          <xm:sqref>C20:D20</xm:sqref>
        </x14:conditionalFormatting>
        <x14:conditionalFormatting xmlns:xm="http://schemas.microsoft.com/office/excel/2006/main">
          <x14:cfRule type="expression" priority="34" id="{2E322B92-B2C6-4BCC-83FB-1C11675BA694}">
            <xm:f>OR(D12&lt;&gt;Baza!A15)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C23:D23</xm:sqref>
        </x14:conditionalFormatting>
        <x14:conditionalFormatting xmlns:xm="http://schemas.microsoft.com/office/excel/2006/main">
          <x14:cfRule type="expression" priority="6" id="{8C1E822E-088C-4633-907F-49DEFBCF428D}">
            <xm:f>$D$12&lt;&gt;Baza!$A$2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C33:D35</xm:sqref>
        </x14:conditionalFormatting>
        <x14:conditionalFormatting xmlns:xm="http://schemas.microsoft.com/office/excel/2006/main">
          <x14:cfRule type="expression" priority="54" id="{56B2AC5E-79A4-486C-BCDF-6F20ED98E6BC}">
            <xm:f>OR($D$12=Baza!$A$8,$D$12=Baza!$A$9)</xm:f>
            <x14:dxf>
              <font>
                <color theme="0"/>
              </font>
              <fill>
                <patternFill patternType="solid">
                  <bgColor theme="0"/>
                </patternFill>
              </fill>
            </x14:dxf>
          </x14:cfRule>
          <x14:cfRule type="expression" priority="55" id="{B22B218D-EBE9-40C3-AA8A-D264D57AD17B}">
            <xm:f>OR($D$12=Baza!$A$6,$D$12=Baza!$A$7,$D$12=Baza!$A$9,$D$12=Baza!$A$10)</xm:f>
            <x14:dxf>
              <font>
                <color auto="1"/>
              </font>
              <fill>
                <patternFill>
                  <bgColor theme="0" tint="-0.14996795556505021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16" id="{EFAE1E10-58CB-4619-8920-80365E799163}">
            <xm:f>OR($D$12=Baza!$A$8)</xm:f>
            <x14:dxf>
              <font>
                <color auto="1"/>
              </font>
              <fill>
                <patternFill>
                  <bgColor theme="0" tint="-0.14996795556505021"/>
                </patternFill>
              </fill>
            </x14:dxf>
          </x14:cfRule>
          <xm:sqref>D18</xm:sqref>
        </x14:conditionalFormatting>
        <x14:conditionalFormatting xmlns:xm="http://schemas.microsoft.com/office/excel/2006/main">
          <x14:cfRule type="expression" priority="57" id="{8E07EE51-501A-4163-821D-25FD7AFB6A88}">
            <xm:f>OR($D$12=Baza!$A$8,$D$12=Baza!$A$10)</xm:f>
            <x14:dxf>
              <font>
                <color auto="1"/>
              </font>
              <fill>
                <patternFill>
                  <bgColor theme="0" tint="-0.14996795556505021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3" id="{0B96ADBC-9D00-458A-99FA-D0CF931FCE56}">
            <xm:f>AND(OR($D$12=Baza!$A$6),D20&lt;&gt;D21)</xm:f>
            <x14:dxf>
              <font>
                <color auto="1"/>
              </font>
              <fill>
                <patternFill>
                  <bgColor theme="5" tint="0.59996337778862885"/>
                </patternFill>
              </fill>
            </x14:dxf>
          </x14:cfRule>
          <x14:cfRule type="expression" priority="58" id="{EFAE1E10-58CB-4619-8920-80365E799163}">
            <xm:f>OR($D$12=Baza!$A$9)</xm:f>
            <x14:dxf>
              <font>
                <color auto="1"/>
              </font>
              <fill>
                <patternFill>
                  <bgColor theme="0" tint="-0.14996795556505021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expression" priority="33" id="{00000000-000E-0000-0000-00001F000000}">
            <xm:f>OR(D12=Baza!A15)</xm:f>
            <x14:dxf>
              <font>
                <color theme="1"/>
              </font>
              <fill>
                <patternFill>
                  <bgColor theme="2"/>
                </patternFill>
              </fill>
            </x14:dxf>
          </x14:cfRule>
          <x14:cfRule type="expression" priority="53" id="{F14BFDE8-449A-4BE3-8F4D-7D6ED45B45FB}">
            <xm:f>($D$12=Baza!$A$2)</xm:f>
            <x14:dxf>
              <font>
                <color theme="0"/>
              </font>
            </x14:dxf>
          </x14:cfRule>
          <xm:sqref>D23 D28</xm:sqref>
        </x14:conditionalFormatting>
        <x14:conditionalFormatting xmlns:xm="http://schemas.microsoft.com/office/excel/2006/main">
          <x14:cfRule type="expression" priority="27" id="{548DB17E-A97E-47DA-99E8-AAB8C0722E03}">
            <xm:f>($D$12=Baza!$A$2)</xm:f>
            <x14:dxf>
              <font>
                <color theme="0"/>
              </font>
            </x14:dxf>
          </x14:cfRule>
          <xm:sqref>D32</xm:sqref>
        </x14:conditionalFormatting>
        <x14:conditionalFormatting xmlns:xm="http://schemas.microsoft.com/office/excel/2006/main">
          <x14:cfRule type="expression" priority="44" id="{0C146CDB-10DE-4083-A914-F57589246C64}">
            <xm:f>(Obliczenia!$D$35="TAK")</xm:f>
            <x14:dxf>
              <font>
                <color auto="1"/>
              </font>
              <fill>
                <patternFill>
                  <bgColor theme="2"/>
                </patternFill>
              </fill>
            </x14:dxf>
          </x14:cfRule>
          <xm:sqref>D41</xm:sqref>
        </x14:conditionalFormatting>
        <x14:conditionalFormatting xmlns:xm="http://schemas.microsoft.com/office/excel/2006/main">
          <x14:cfRule type="expression" priority="1" id="{F8CBFB19-5884-4AF9-B3B9-1C06D08C2684}">
            <xm:f>$D$12=Baza!A9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E16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8263EBB4-36C2-466A-BB01-B1089134DB69}">
          <x14:formula1>
            <xm:f>Obliczenia!$H$3:$H$4</xm:f>
          </x14:formula1>
          <xm:sqref>C10</xm:sqref>
        </x14:dataValidation>
        <x14:dataValidation type="list" allowBlank="1" showInputMessage="1" showErrorMessage="1" xr:uid="{75FA9BAB-8A4B-49A9-80B7-6347CFF04D52}">
          <x14:formula1>
            <xm:f>IF(SEARCH("hybrydowy",$D$12)&gt;0,Obliczenia!$H$1:$H$2,Obliczenia!$H$1)</xm:f>
          </x14:formula1>
          <xm:sqref>D25</xm:sqref>
        </x14:dataValidation>
        <x14:dataValidation type="list" allowBlank="1" showInputMessage="1" showErrorMessage="1" xr:uid="{B0101FE1-F834-498B-AE78-593C923F0DEE}">
          <x14:formula1>
            <xm:f>Obliczenia!$H$1:$H$2</xm:f>
          </x14:formula1>
          <xm:sqref>D30:D33</xm:sqref>
        </x14:dataValidation>
        <x14:dataValidation type="list" allowBlank="1" showInputMessage="1" showErrorMessage="1" xr:uid="{49B2EB8B-CED4-420D-A899-5F89F6FF23F8}">
          <x14:formula1>
            <xm:f>IF(D12&lt;&gt;"",Obliczenia!$H$10,Obliczenia!$H$1)</xm:f>
          </x14:formula1>
          <xm:sqref>D29</xm:sqref>
        </x14:dataValidation>
        <x14:dataValidation type="list" showInputMessage="1" showErrorMessage="1" xr:uid="{E51C27FD-1F8D-4A67-945A-1739A50DABF2}">
          <x14:formula1>
            <xm:f>Kredyt!$A$2:$A$10</xm:f>
          </x14:formula1>
          <xm:sqref>F36</xm:sqref>
        </x14:dataValidation>
        <x14:dataValidation type="list" allowBlank="1" showInputMessage="1" showErrorMessage="1" xr:uid="{0E4EFAA3-3F81-4E3E-A05F-F1505D994CCA}">
          <x14:formula1>
            <xm:f>Baza!$A$6:$A$10</xm:f>
          </x14:formula1>
          <xm:sqref>D12</xm:sqref>
        </x14:dataValidation>
        <x14:dataValidation type="list" allowBlank="1" showInputMessage="1" showErrorMessage="1" xr:uid="{A0A27CEC-FD07-4F1A-976C-B92A814960B4}">
          <x14:formula1>
            <xm:f>IF($D$12=Baza!$A$8,Baza!$F$7:$F$7,Baza!$F$5:$F$5)</xm:f>
          </x14:formula1>
          <xm:sqref>D16</xm:sqref>
        </x14:dataValidation>
        <x14:dataValidation type="list" showInputMessage="1" showErrorMessage="1" xr:uid="{78E3C5A1-A95A-4C04-B8B5-BDEE781F7436}">
          <x14:formula1>
            <xm:f>IF(OR($D$12=Baza!$A$8,$D$12=Baza!$A$9),Baza!$Z$26:$Z$27,Baza!$Z$25)</xm:f>
          </x14:formula1>
          <xm:sqref>D18</xm:sqref>
        </x14:dataValidation>
        <x14:dataValidation type="list" showInputMessage="1" showErrorMessage="1" xr:uid="{92A426AD-D653-42C2-87BE-FED868B93AC0}">
          <x14:formula1>
            <xm:f>IF(OR($D$12=Baza!$A$8,$D$12=Baza!$A$10),Baza!$Z$26:$Z$27,Baza!$Z$25)</xm:f>
          </x14:formula1>
          <xm:sqref>D19</xm:sqref>
        </x14:dataValidation>
        <x14:dataValidation type="list" showInputMessage="1" showErrorMessage="1" xr:uid="{C7361EC3-C341-41A4-98EF-83E641B73E00}">
          <x14:formula1>
            <xm:f>IF(D12=Baza!A5,Baza!$Z$14:$Z$14,Baza!$Z$14:$Z$17)</xm:f>
          </x14:formula1>
          <xm:sqref>D17</xm:sqref>
        </x14:dataValidation>
        <x14:dataValidation type="list" showInputMessage="1" showErrorMessage="1" xr:uid="{1C7EE3A9-55BB-4E39-9746-4AE522163F35}">
          <x14:formula1>
            <xm:f>_xlfn.IFS(AND($D$12=Baza!$A$6,$E$16=8,Obliczenia!N5=Obliczenia!H5),Baza!$O$22,OR($D$12=Baza!$A$6,$D$12=Baza!$A$9),Baza!$O$23:$O$29,OR($D$12=Baza!$A$7,$D$12=Baza!$A$8,$D$12=Baza!$A$10),Baza!$O$21)</xm:f>
          </x14:formula1>
          <xm:sqref>D20</xm:sqref>
        </x14:dataValidation>
        <x14:dataValidation type="list" allowBlank="1" showInputMessage="1" showErrorMessage="1" xr:uid="{2C7D38BA-6D45-4599-8BB3-B97EA4BD9C25}">
          <x14:formula1>
            <xm:f>IF(D12=Baza!A5,Baza!$M$10:$M$10,IF(D12=Baza!A8,Baza!$M$3:$M$3,IF(D12=Baza!A7,Baza!$M$9:$M$113,IF(D12=Baza!A9,Baza!$M$2:$M$2,Baza!$M$9:$M$68))))</xm:f>
          </x14:formula1>
          <xm:sqref>E16</xm:sqref>
        </x14:dataValidation>
        <x14:dataValidation type="list" showInputMessage="1" showErrorMessage="1" xr:uid="{DDDA5347-4787-42C2-9BD0-3CE207C88F2C}">
          <x14:formula1>
            <xm:f>_xlfn.IFS($D$16=Baza!$F$5,Baza!$I$17:$I21,$D$16=Baza!$F$4,Baza!$I$21)</xm:f>
          </x14:formula1>
          <xm:sqref>D14</xm:sqref>
        </x14:dataValidation>
        <x14:dataValidation type="list" allowBlank="1" showInputMessage="1" showErrorMessage="1" xr:uid="{B815BC84-0C93-404D-83EF-D3916A3ECB66}">
          <x14:formula1>
            <xm:f>IF(AND(Obliczenia!$B$2=Baza!A6,E16=8),Obliczenia!$H$5:$H$6,Obliczenia!$H$6)</xm:f>
          </x14:formula1>
          <xm:sqref>D22</xm:sqref>
        </x14:dataValidation>
        <x14:dataValidation type="list" allowBlank="1" showInputMessage="1" showErrorMessage="1" xr:uid="{3DED34D1-6212-4FCB-ACB0-7135AB26EA02}">
          <x14:formula1>
            <xm:f>IF(OR($D$12=Baza!A3,$D$12=Baza!A4),Obliczenia!$H$1:$H$2,Obliczenia!$H$8)</xm:f>
          </x14:formula1>
          <xm:sqref>D23</xm:sqref>
        </x14:dataValidation>
        <x14:dataValidation type="list" allowBlank="1" showInputMessage="1" showErrorMessage="1" xr:uid="{AD48776A-BBA6-430E-B4E0-C96D58B297C7}">
          <x14:formula1>
            <xm:f>IF(OR($D$12=Baza!A3,$D$12=Baza!A4,$D$12=Baza!A6),Obliczenia!$H$1:$H$2,Obliczenia!$H$1)</xm:f>
          </x14:formula1>
          <xm:sqref>D28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76A55-F24E-4E3E-BECF-3A66A46C93DA}">
  <sheetPr codeName="Arkusz2"/>
  <dimension ref="A1:H23"/>
  <sheetViews>
    <sheetView showGridLines="0" showRowColHeaders="0" workbookViewId="0">
      <selection activeCell="D10" sqref="D10"/>
    </sheetView>
  </sheetViews>
  <sheetFormatPr defaultColWidth="0" defaultRowHeight="14.4" zeroHeight="1"/>
  <cols>
    <col min="1" max="1" width="4" customWidth="1"/>
    <col min="2" max="2" width="1.88671875" customWidth="1"/>
    <col min="3" max="3" width="41.33203125" customWidth="1"/>
    <col min="4" max="4" width="22.5546875" customWidth="1"/>
    <col min="5" max="5" width="8.88671875" customWidth="1"/>
    <col min="6" max="6" width="47.33203125" customWidth="1"/>
    <col min="7" max="7" width="21.6640625" customWidth="1"/>
    <col min="8" max="8" width="8.88671875" customWidth="1"/>
    <col min="9" max="16" width="8.88671875" hidden="1" customWidth="1"/>
    <col min="17" max="16384" width="8.88671875" hidden="1"/>
  </cols>
  <sheetData>
    <row r="1" spans="3:7"/>
    <row r="2" spans="3:7"/>
    <row r="3" spans="3:7"/>
    <row r="4" spans="3:7"/>
    <row r="5" spans="3:7"/>
    <row r="6" spans="3:7"/>
    <row r="7" spans="3:7"/>
    <row r="8" spans="3:7" ht="15" thickBot="1"/>
    <row r="9" spans="3:7" ht="15.6">
      <c r="C9" s="73" t="s">
        <v>123</v>
      </c>
      <c r="D9" s="74"/>
      <c r="E9" s="27"/>
      <c r="F9" s="73" t="s">
        <v>161</v>
      </c>
      <c r="G9" s="74"/>
    </row>
    <row r="10" spans="3:7">
      <c r="C10" s="26" t="s">
        <v>119</v>
      </c>
      <c r="D10" s="30">
        <f>Kredyt!$J$2</f>
        <v>4</v>
      </c>
      <c r="E10" s="25"/>
      <c r="F10" s="26" t="s">
        <v>119</v>
      </c>
      <c r="G10" s="31">
        <f>Kredyt!$J$3</f>
        <v>4</v>
      </c>
    </row>
    <row r="11" spans="3:7">
      <c r="C11" s="26" t="s">
        <v>120</v>
      </c>
      <c r="D11" s="32">
        <f>Kredyt!$E$2</f>
        <v>57283.379020799999</v>
      </c>
      <c r="E11" s="25"/>
      <c r="F11" s="26" t="s">
        <v>120</v>
      </c>
      <c r="G11" s="32">
        <f>Kredyt!$E$3</f>
        <v>57283.379020799999</v>
      </c>
    </row>
    <row r="12" spans="3:7">
      <c r="C12" s="26" t="s">
        <v>121</v>
      </c>
      <c r="D12" s="32">
        <f>Kredyt!$F$2</f>
        <v>0</v>
      </c>
      <c r="E12" s="25"/>
      <c r="F12" s="26" t="s">
        <v>121</v>
      </c>
      <c r="G12" s="32">
        <f>Kredyt!$F$3</f>
        <v>0</v>
      </c>
    </row>
    <row r="13" spans="3:7">
      <c r="C13" s="29" t="s">
        <v>113</v>
      </c>
      <c r="D13" s="33">
        <f>Kredyt!$G$2</f>
        <v>57283.379020799999</v>
      </c>
      <c r="E13" s="25"/>
      <c r="F13" s="29" t="s">
        <v>113</v>
      </c>
      <c r="G13" s="33">
        <f>Kredyt!$G$3</f>
        <v>57283.379020799999</v>
      </c>
    </row>
    <row r="14" spans="3:7">
      <c r="C14" s="29" t="s">
        <v>125</v>
      </c>
      <c r="D14" s="33">
        <v>100000</v>
      </c>
      <c r="E14" s="25"/>
      <c r="F14" s="29" t="s">
        <v>125</v>
      </c>
      <c r="G14" s="33">
        <v>80000</v>
      </c>
    </row>
    <row r="15" spans="3:7" ht="15" thickBot="1">
      <c r="C15" s="34" t="s">
        <v>122</v>
      </c>
      <c r="D15" s="35">
        <f>Kredyt!$M$2</f>
        <v>1537.1040037247999</v>
      </c>
      <c r="E15" s="25"/>
      <c r="F15" s="34" t="s">
        <v>122</v>
      </c>
      <c r="G15" s="35">
        <f>Kredyt!$M$3</f>
        <v>1537.1040037247999</v>
      </c>
    </row>
    <row r="16" spans="3:7"/>
    <row r="17" customFormat="1"/>
    <row r="18" customFormat="1" hidden="1"/>
    <row r="19" customFormat="1" hidden="1"/>
    <row r="20" customFormat="1" hidden="1"/>
    <row r="21" customFormat="1" hidden="1"/>
    <row r="22" customFormat="1" hidden="1"/>
    <row r="23" customFormat="1" hidden="1"/>
  </sheetData>
  <sheetProtection algorithmName="SHA-512" hashValue="asiGbgHo/5ow8KIkYvT7oPjrvOdCzZtxAKKJWwrl90F99vL8N5WiwmnSWOGHbPAdn7aYlMwzFgwhsxe3SEq6YA==" saltValue="tErsuJWI/cQdTdAvaOpsCQ==" spinCount="100000" sheet="1" objects="1" scenarios="1"/>
  <mergeCells count="2">
    <mergeCell ref="C9:D9"/>
    <mergeCell ref="F9:G9"/>
  </mergeCells>
  <conditionalFormatting sqref="D13">
    <cfRule type="cellIs" dxfId="8" priority="2" operator="greaterThan">
      <formula>$D$14</formula>
    </cfRule>
  </conditionalFormatting>
  <conditionalFormatting sqref="G13">
    <cfRule type="cellIs" dxfId="7" priority="1" operator="greaterThan">
      <formula>$G$14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C3548-2DF1-4B1E-8191-AC72B597B3BC}">
  <sheetPr codeName="Arkusz3"/>
  <dimension ref="A1:M10"/>
  <sheetViews>
    <sheetView workbookViewId="0">
      <selection activeCell="L2" sqref="L2"/>
    </sheetView>
  </sheetViews>
  <sheetFormatPr defaultRowHeight="14.4"/>
  <cols>
    <col min="3" max="3" width="9.6640625" bestFit="1" customWidth="1"/>
    <col min="5" max="5" width="14.5546875" style="13" bestFit="1" customWidth="1"/>
    <col min="6" max="6" width="11.88671875" style="13" bestFit="1" customWidth="1"/>
    <col min="7" max="7" width="13.5546875" style="13" bestFit="1" customWidth="1"/>
    <col min="9" max="9" width="9.5546875" bestFit="1" customWidth="1"/>
    <col min="10" max="10" width="20.6640625" customWidth="1"/>
    <col min="11" max="11" width="14.5546875" customWidth="1"/>
    <col min="12" max="12" width="10.5546875" bestFit="1" customWidth="1"/>
    <col min="13" max="13" width="9.5546875" style="28" bestFit="1" customWidth="1"/>
  </cols>
  <sheetData>
    <row r="1" spans="1:13">
      <c r="E1" s="13" t="s">
        <v>111</v>
      </c>
      <c r="F1" s="13" t="s">
        <v>112</v>
      </c>
      <c r="G1" s="13" t="s">
        <v>113</v>
      </c>
      <c r="H1" t="s">
        <v>114</v>
      </c>
      <c r="I1" t="s">
        <v>115</v>
      </c>
      <c r="J1" s="13" t="s">
        <v>116</v>
      </c>
      <c r="K1" s="13" t="s">
        <v>117</v>
      </c>
      <c r="L1" s="13" t="s">
        <v>118</v>
      </c>
      <c r="M1" s="28" t="s">
        <v>124</v>
      </c>
    </row>
    <row r="2" spans="1:13">
      <c r="A2">
        <v>2</v>
      </c>
      <c r="D2" t="s">
        <v>109</v>
      </c>
      <c r="E2" s="13">
        <f>Kalkulator!$D$37</f>
        <v>57283.379020799999</v>
      </c>
      <c r="F2" s="13">
        <f>Kalkulator!$G$36</f>
        <v>0</v>
      </c>
      <c r="G2" s="13">
        <f>E2-F2</f>
        <v>57283.379020799999</v>
      </c>
      <c r="H2">
        <v>0.12839999999999999</v>
      </c>
      <c r="I2">
        <f>H2/12</f>
        <v>1.0699999999999999E-2</v>
      </c>
      <c r="J2">
        <f>Kalkulator!$F$36</f>
        <v>4</v>
      </c>
      <c r="K2">
        <f>J2*12</f>
        <v>48</v>
      </c>
      <c r="L2" s="13">
        <f>(G2/K2)+G2*0.006</f>
        <v>1537.1040037247999</v>
      </c>
      <c r="M2" s="28">
        <f>IFERROR(IF(J2=VLOOKUP(J2,A2:A10,1,0),L2,0),"-")</f>
        <v>1537.1040037247999</v>
      </c>
    </row>
    <row r="3" spans="1:13">
      <c r="A3">
        <v>3</v>
      </c>
      <c r="D3" t="s">
        <v>110</v>
      </c>
      <c r="E3" s="13">
        <f>Kalkulator!$D$37</f>
        <v>57283.379020799999</v>
      </c>
      <c r="F3" s="13">
        <f>Kalkulator!$G$36</f>
        <v>0</v>
      </c>
      <c r="G3" s="13">
        <f>E3-F3</f>
        <v>57283.379020799999</v>
      </c>
      <c r="H3">
        <v>0.12839999999999999</v>
      </c>
      <c r="I3">
        <f>H3/12</f>
        <v>1.0699999999999999E-2</v>
      </c>
      <c r="J3">
        <f>Kalkulator!$F$36</f>
        <v>4</v>
      </c>
      <c r="K3">
        <f>IFERROR(J3*12,83)</f>
        <v>48</v>
      </c>
      <c r="L3" s="13">
        <f>(G3/K3)+G3*0.006</f>
        <v>1537.1040037247999</v>
      </c>
      <c r="M3" s="28">
        <f>IFERROR(IF(J3=VLOOKUP(J3,A2:A6,1,0),L3,0),"-")</f>
        <v>1537.1040037247999</v>
      </c>
    </row>
    <row r="4" spans="1:13">
      <c r="A4">
        <v>4</v>
      </c>
    </row>
    <row r="5" spans="1:13">
      <c r="A5">
        <v>5</v>
      </c>
    </row>
    <row r="6" spans="1:13">
      <c r="A6">
        <v>6</v>
      </c>
    </row>
    <row r="7" spans="1:13">
      <c r="A7">
        <v>7</v>
      </c>
    </row>
    <row r="8" spans="1:13">
      <c r="A8">
        <v>8</v>
      </c>
    </row>
    <row r="9" spans="1:13">
      <c r="A9">
        <v>9</v>
      </c>
    </row>
    <row r="10" spans="1:13">
      <c r="A10">
        <v>10</v>
      </c>
    </row>
  </sheetData>
  <sheetProtection algorithmName="SHA-512" hashValue="+zW5hhisStSbbB89DBhPVr/YOGK7yG5c2xpEXSz0hx16E9BiquOcEpOba6zMGqZGQPIEVwHILHGmCXx3wfdkgQ==" saltValue="sLFjR/AFVzCLhihQeflfk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4"/>
  <dimension ref="A1:AV171"/>
  <sheetViews>
    <sheetView workbookViewId="0">
      <selection activeCell="A16" sqref="A16"/>
    </sheetView>
  </sheetViews>
  <sheetFormatPr defaultRowHeight="14.4"/>
  <cols>
    <col min="1" max="1" width="49.109375" bestFit="1" customWidth="1"/>
    <col min="2" max="2" width="11.88671875" bestFit="1" customWidth="1"/>
    <col min="6" max="6" width="22.5546875" bestFit="1" customWidth="1"/>
    <col min="7" max="7" width="14.33203125" customWidth="1"/>
    <col min="8" max="8" width="22.88671875" customWidth="1"/>
    <col min="9" max="9" width="40.6640625" bestFit="1" customWidth="1"/>
    <col min="10" max="10" width="10.6640625" bestFit="1" customWidth="1"/>
    <col min="11" max="12" width="10.6640625" customWidth="1"/>
    <col min="13" max="13" width="4.44140625" customWidth="1"/>
    <col min="14" max="14" width="6" bestFit="1" customWidth="1"/>
    <col min="15" max="15" width="23.5546875" bestFit="1" customWidth="1"/>
    <col min="16" max="16" width="4.5546875" bestFit="1" customWidth="1"/>
    <col min="17" max="17" width="15.6640625" bestFit="1" customWidth="1"/>
    <col min="18" max="18" width="13.88671875" bestFit="1" customWidth="1"/>
    <col min="19" max="19" width="11.88671875" bestFit="1" customWidth="1"/>
    <col min="20" max="20" width="19.88671875" bestFit="1" customWidth="1"/>
    <col min="21" max="21" width="5.6640625" customWidth="1"/>
    <col min="22" max="22" width="15.6640625" bestFit="1" customWidth="1"/>
    <col min="23" max="23" width="13.88671875" bestFit="1" customWidth="1"/>
    <col min="24" max="25" width="13.5546875" customWidth="1"/>
    <col min="26" max="26" width="31.5546875" bestFit="1" customWidth="1"/>
    <col min="27" max="27" width="15.44140625" bestFit="1" customWidth="1"/>
    <col min="28" max="28" width="13.5546875" customWidth="1"/>
    <col min="31" max="31" width="11.44140625" customWidth="1"/>
    <col min="32" max="32" width="10.88671875" bestFit="1" customWidth="1"/>
    <col min="34" max="34" width="11.44140625" customWidth="1"/>
    <col min="35" max="36" width="9.109375" customWidth="1"/>
    <col min="37" max="37" width="11.109375" customWidth="1"/>
    <col min="40" max="40" width="10.33203125" customWidth="1"/>
    <col min="41" max="41" width="33.33203125" bestFit="1" customWidth="1"/>
    <col min="42" max="42" width="11.6640625" customWidth="1"/>
    <col min="44" max="44" width="12.33203125" bestFit="1" customWidth="1"/>
    <col min="45" max="45" width="11.88671875" bestFit="1" customWidth="1"/>
    <col min="48" max="48" width="42.21875" bestFit="1" customWidth="1"/>
  </cols>
  <sheetData>
    <row r="1" spans="1:48">
      <c r="A1" s="2" t="s">
        <v>52</v>
      </c>
      <c r="B1" s="75" t="s">
        <v>88</v>
      </c>
      <c r="C1" s="75"/>
      <c r="D1" s="1"/>
      <c r="E1" s="1"/>
      <c r="F1" s="75" t="s">
        <v>0</v>
      </c>
      <c r="G1" s="75"/>
      <c r="H1" s="75"/>
      <c r="I1" s="75" t="s">
        <v>1</v>
      </c>
      <c r="J1" s="75"/>
      <c r="K1" s="1"/>
      <c r="L1" s="1"/>
      <c r="M1" s="1"/>
      <c r="N1" s="1"/>
      <c r="O1" s="75" t="s">
        <v>78</v>
      </c>
      <c r="P1" s="75"/>
      <c r="Q1" s="75"/>
      <c r="R1" s="75"/>
      <c r="S1" s="75"/>
      <c r="T1" s="75" t="s">
        <v>2</v>
      </c>
      <c r="U1" s="75"/>
      <c r="V1" s="75"/>
      <c r="W1" s="75"/>
      <c r="X1" s="75"/>
      <c r="Y1" s="1"/>
      <c r="Z1" s="75" t="s">
        <v>3</v>
      </c>
      <c r="AA1" s="75"/>
      <c r="AB1" s="75"/>
      <c r="AC1" s="76" t="s">
        <v>4</v>
      </c>
      <c r="AD1" s="76"/>
      <c r="AE1" s="76"/>
      <c r="AF1" s="75" t="s">
        <v>5</v>
      </c>
      <c r="AG1" s="75"/>
      <c r="AH1" s="75"/>
      <c r="AI1" s="76" t="s">
        <v>6</v>
      </c>
      <c r="AJ1" s="76"/>
      <c r="AK1" s="76"/>
      <c r="AL1" s="76" t="s">
        <v>7</v>
      </c>
      <c r="AM1" s="76"/>
      <c r="AN1" s="76"/>
      <c r="AO1" s="75" t="s">
        <v>8</v>
      </c>
      <c r="AP1" s="75"/>
      <c r="AR1" s="75" t="s">
        <v>184</v>
      </c>
      <c r="AS1" s="75"/>
      <c r="AT1" s="75" t="s">
        <v>219</v>
      </c>
      <c r="AU1" s="75"/>
      <c r="AV1" s="75"/>
    </row>
    <row r="2" spans="1:48">
      <c r="A2" s="46" t="s">
        <v>81</v>
      </c>
      <c r="B2" t="s">
        <v>91</v>
      </c>
      <c r="C2">
        <v>2000</v>
      </c>
      <c r="D2">
        <v>10000</v>
      </c>
      <c r="E2">
        <v>10000</v>
      </c>
      <c r="F2" s="2" t="s">
        <v>9</v>
      </c>
      <c r="G2" s="2" t="s">
        <v>73</v>
      </c>
      <c r="H2" s="2" t="s">
        <v>10</v>
      </c>
      <c r="I2" s="3" t="s">
        <v>11</v>
      </c>
      <c r="J2" s="3" t="s">
        <v>12</v>
      </c>
      <c r="K2" s="3" t="s">
        <v>173</v>
      </c>
      <c r="L2" s="3" t="s">
        <v>174</v>
      </c>
      <c r="M2" s="3"/>
      <c r="N2" s="3" t="s">
        <v>211</v>
      </c>
      <c r="O2" s="2" t="s">
        <v>2</v>
      </c>
      <c r="P2" s="2" t="s">
        <v>13</v>
      </c>
      <c r="Q2" s="2" t="s">
        <v>14</v>
      </c>
      <c r="R2" s="2" t="s">
        <v>15</v>
      </c>
      <c r="S2" s="2" t="s">
        <v>16</v>
      </c>
      <c r="T2" s="2" t="s">
        <v>2</v>
      </c>
      <c r="U2" s="2" t="s">
        <v>13</v>
      </c>
      <c r="V2" s="2" t="s">
        <v>14</v>
      </c>
      <c r="W2" s="2" t="s">
        <v>15</v>
      </c>
      <c r="X2" s="2" t="s">
        <v>16</v>
      </c>
      <c r="Y2" s="2" t="s">
        <v>17</v>
      </c>
      <c r="Z2" s="2" t="s">
        <v>18</v>
      </c>
      <c r="AA2" s="2" t="s">
        <v>19</v>
      </c>
      <c r="AB2" s="2" t="s">
        <v>16</v>
      </c>
      <c r="AC2" s="3" t="s">
        <v>20</v>
      </c>
      <c r="AD2" s="3" t="s">
        <v>21</v>
      </c>
      <c r="AE2" s="4" t="s">
        <v>16</v>
      </c>
      <c r="AF2" s="3" t="s">
        <v>22</v>
      </c>
      <c r="AG2" s="3" t="s">
        <v>23</v>
      </c>
      <c r="AH2" s="4" t="s">
        <v>16</v>
      </c>
      <c r="AI2" s="3" t="s">
        <v>22</v>
      </c>
      <c r="AJ2" s="3" t="s">
        <v>23</v>
      </c>
      <c r="AK2" s="4"/>
      <c r="AL2" s="5" t="s">
        <v>22</v>
      </c>
      <c r="AM2" s="5" t="s">
        <v>23</v>
      </c>
      <c r="AN2" s="5" t="s">
        <v>16</v>
      </c>
      <c r="AO2" s="5" t="s">
        <v>24</v>
      </c>
      <c r="AP2" s="6">
        <v>800</v>
      </c>
      <c r="AS2" s="5" t="s">
        <v>16</v>
      </c>
      <c r="AT2">
        <v>1</v>
      </c>
      <c r="AU2">
        <v>1</v>
      </c>
      <c r="AV2" t="s">
        <v>220</v>
      </c>
    </row>
    <row r="3" spans="1:48">
      <c r="A3" t="s">
        <v>82</v>
      </c>
      <c r="B3" t="s">
        <v>90</v>
      </c>
      <c r="C3">
        <v>1500</v>
      </c>
      <c r="D3">
        <v>7000</v>
      </c>
      <c r="E3">
        <v>7000</v>
      </c>
      <c r="F3" t="s">
        <v>128</v>
      </c>
      <c r="G3">
        <v>0.45</v>
      </c>
      <c r="H3" s="6">
        <v>290</v>
      </c>
      <c r="I3" s="3" t="s">
        <v>25</v>
      </c>
      <c r="J3" s="4">
        <v>75</v>
      </c>
      <c r="K3" s="4">
        <v>72.5</v>
      </c>
      <c r="L3" s="4">
        <v>72.5</v>
      </c>
      <c r="M3" s="7">
        <v>1</v>
      </c>
      <c r="N3" s="7">
        <v>442</v>
      </c>
      <c r="O3" t="s">
        <v>166</v>
      </c>
      <c r="P3">
        <v>3</v>
      </c>
      <c r="Q3" s="9">
        <v>3</v>
      </c>
      <c r="R3" s="9">
        <v>3.65</v>
      </c>
      <c r="S3" s="6">
        <v>3950</v>
      </c>
      <c r="T3" s="8" t="s">
        <v>142</v>
      </c>
      <c r="U3">
        <v>3</v>
      </c>
      <c r="V3" s="9">
        <v>3</v>
      </c>
      <c r="W3" s="9">
        <v>3.75</v>
      </c>
      <c r="X3" s="6">
        <v>1320</v>
      </c>
      <c r="Z3" s="23" t="s">
        <v>104</v>
      </c>
      <c r="AA3">
        <v>0</v>
      </c>
      <c r="AB3">
        <v>0</v>
      </c>
      <c r="AC3" s="3">
        <v>0</v>
      </c>
      <c r="AD3" s="3">
        <v>5.5</v>
      </c>
      <c r="AE3" s="4">
        <v>1800</v>
      </c>
      <c r="AF3" s="3">
        <v>0</v>
      </c>
      <c r="AG3" s="3">
        <v>7</v>
      </c>
      <c r="AH3" s="4">
        <v>1000</v>
      </c>
      <c r="AI3" s="3"/>
      <c r="AJ3" s="3"/>
      <c r="AK3" s="4"/>
      <c r="AL3" s="11">
        <v>0</v>
      </c>
      <c r="AM3" s="11">
        <v>5</v>
      </c>
      <c r="AN3" s="12">
        <v>550</v>
      </c>
      <c r="AO3" t="s">
        <v>26</v>
      </c>
      <c r="AP3" s="6">
        <v>500</v>
      </c>
      <c r="AR3">
        <v>1000</v>
      </c>
      <c r="AS3" s="12">
        <v>10000</v>
      </c>
      <c r="AT3">
        <v>1</v>
      </c>
      <c r="AU3">
        <v>2</v>
      </c>
      <c r="AV3" t="s">
        <v>221</v>
      </c>
    </row>
    <row r="4" spans="1:48">
      <c r="A4" t="s">
        <v>83</v>
      </c>
      <c r="B4" t="s">
        <v>92</v>
      </c>
      <c r="C4">
        <v>1500</v>
      </c>
      <c r="F4" t="s">
        <v>27</v>
      </c>
      <c r="G4">
        <v>0.3</v>
      </c>
      <c r="H4" s="6">
        <v>950</v>
      </c>
      <c r="I4" s="3" t="s">
        <v>28</v>
      </c>
      <c r="J4" s="4">
        <v>20</v>
      </c>
      <c r="K4" s="4">
        <v>53.41</v>
      </c>
      <c r="L4" s="4">
        <v>53.41</v>
      </c>
      <c r="M4" s="7">
        <v>2</v>
      </c>
      <c r="N4" s="7">
        <v>442</v>
      </c>
      <c r="O4" t="s">
        <v>167</v>
      </c>
      <c r="P4">
        <v>5</v>
      </c>
      <c r="Q4" s="9">
        <v>3.66</v>
      </c>
      <c r="R4" s="9">
        <v>5.5</v>
      </c>
      <c r="S4" s="6">
        <v>5540</v>
      </c>
      <c r="T4" t="s">
        <v>143</v>
      </c>
      <c r="U4">
        <v>4</v>
      </c>
      <c r="V4" s="9">
        <v>3.76</v>
      </c>
      <c r="W4" s="9">
        <v>4.75</v>
      </c>
      <c r="X4" s="6">
        <v>2795</v>
      </c>
      <c r="Z4" s="7" t="s">
        <v>162</v>
      </c>
      <c r="AA4" s="10">
        <v>5.12</v>
      </c>
      <c r="AB4" s="6">
        <v>7790</v>
      </c>
      <c r="AC4" s="3">
        <v>5.51</v>
      </c>
      <c r="AD4" s="3">
        <v>10</v>
      </c>
      <c r="AE4" s="4">
        <v>2000</v>
      </c>
      <c r="AF4" s="3">
        <v>7.01</v>
      </c>
      <c r="AG4" s="3">
        <v>10</v>
      </c>
      <c r="AH4" s="4">
        <v>1200</v>
      </c>
      <c r="AI4" s="3"/>
      <c r="AJ4" s="3"/>
      <c r="AK4" s="4"/>
      <c r="AL4" s="11">
        <v>5.01</v>
      </c>
      <c r="AM4" s="11">
        <v>10</v>
      </c>
      <c r="AN4" s="12">
        <v>500</v>
      </c>
      <c r="AO4" t="s">
        <v>63</v>
      </c>
      <c r="AP4" s="6">
        <v>500</v>
      </c>
      <c r="AT4">
        <v>2</v>
      </c>
      <c r="AU4">
        <v>1</v>
      </c>
      <c r="AV4" t="s">
        <v>220</v>
      </c>
    </row>
    <row r="5" spans="1:48">
      <c r="A5" t="s">
        <v>233</v>
      </c>
      <c r="B5" t="s">
        <v>91</v>
      </c>
      <c r="C5">
        <v>1200</v>
      </c>
      <c r="F5" t="s">
        <v>244</v>
      </c>
      <c r="G5">
        <v>0.45500000000000002</v>
      </c>
      <c r="H5" s="6">
        <v>245</v>
      </c>
      <c r="I5" s="3" t="s">
        <v>30</v>
      </c>
      <c r="J5" s="4">
        <v>95</v>
      </c>
      <c r="K5" s="4"/>
      <c r="L5" s="4"/>
      <c r="M5" s="7">
        <v>3</v>
      </c>
      <c r="N5" s="7">
        <v>884</v>
      </c>
      <c r="O5" t="s">
        <v>168</v>
      </c>
      <c r="P5">
        <v>6</v>
      </c>
      <c r="Q5" s="9">
        <v>5.51</v>
      </c>
      <c r="R5" s="9">
        <v>7</v>
      </c>
      <c r="S5" s="6">
        <v>6090</v>
      </c>
      <c r="T5" t="s">
        <v>144</v>
      </c>
      <c r="U5">
        <v>5</v>
      </c>
      <c r="V5" s="9">
        <v>4.76</v>
      </c>
      <c r="W5" s="9">
        <v>5.75</v>
      </c>
      <c r="X5" s="6">
        <v>3030</v>
      </c>
      <c r="Z5" s="7" t="s">
        <v>163</v>
      </c>
      <c r="AA5" s="10">
        <v>10.24</v>
      </c>
      <c r="AB5" s="6">
        <v>14330</v>
      </c>
      <c r="AC5" s="3">
        <v>10.01</v>
      </c>
      <c r="AD5" s="3">
        <v>15.5</v>
      </c>
      <c r="AE5" s="4">
        <v>2700</v>
      </c>
      <c r="AF5" s="3">
        <v>10.01</v>
      </c>
      <c r="AG5" s="3">
        <v>15</v>
      </c>
      <c r="AH5" s="4">
        <v>1500</v>
      </c>
      <c r="AI5" s="3">
        <v>1</v>
      </c>
      <c r="AJ5" s="3">
        <v>999</v>
      </c>
      <c r="AK5" s="4">
        <v>25</v>
      </c>
      <c r="AL5" s="11">
        <v>10.01</v>
      </c>
      <c r="AM5" s="11">
        <v>20</v>
      </c>
      <c r="AN5" s="12">
        <v>450</v>
      </c>
      <c r="AO5" t="s">
        <v>31</v>
      </c>
      <c r="AP5" s="6">
        <v>135</v>
      </c>
      <c r="AT5">
        <v>2</v>
      </c>
      <c r="AU5">
        <v>2</v>
      </c>
      <c r="AV5" t="s">
        <v>222</v>
      </c>
    </row>
    <row r="6" spans="1:48">
      <c r="A6" t="s">
        <v>234</v>
      </c>
      <c r="B6" t="s">
        <v>90</v>
      </c>
      <c r="C6">
        <v>1000</v>
      </c>
      <c r="I6" s="3" t="s">
        <v>32</v>
      </c>
      <c r="J6" s="4">
        <v>95</v>
      </c>
      <c r="K6" s="4"/>
      <c r="L6" s="4"/>
      <c r="M6" s="7">
        <v>4</v>
      </c>
      <c r="N6" s="7">
        <v>884</v>
      </c>
      <c r="O6" t="s">
        <v>169</v>
      </c>
      <c r="P6">
        <v>8</v>
      </c>
      <c r="Q6" s="9">
        <v>7.01</v>
      </c>
      <c r="R6" s="9">
        <v>9</v>
      </c>
      <c r="S6" s="6">
        <v>6850</v>
      </c>
      <c r="T6" t="s">
        <v>145</v>
      </c>
      <c r="U6">
        <v>6</v>
      </c>
      <c r="V6" s="9">
        <v>5.76</v>
      </c>
      <c r="W6" s="9">
        <v>7</v>
      </c>
      <c r="X6" s="6">
        <v>3150</v>
      </c>
      <c r="Z6" s="7" t="s">
        <v>164</v>
      </c>
      <c r="AA6" s="10">
        <v>15.36</v>
      </c>
      <c r="AB6" s="6">
        <v>20870</v>
      </c>
      <c r="AC6" s="3">
        <v>15.51</v>
      </c>
      <c r="AD6" s="3">
        <v>20</v>
      </c>
      <c r="AE6" s="4">
        <v>3600</v>
      </c>
      <c r="AF6" s="3">
        <v>15.01</v>
      </c>
      <c r="AG6" s="3">
        <v>25</v>
      </c>
      <c r="AH6" s="4">
        <v>2000</v>
      </c>
      <c r="AI6" s="75" t="s">
        <v>33</v>
      </c>
      <c r="AJ6" s="75"/>
      <c r="AK6" s="4">
        <v>250</v>
      </c>
      <c r="AL6" s="11">
        <v>20.010000000000002</v>
      </c>
      <c r="AM6" s="11">
        <v>30</v>
      </c>
      <c r="AN6" s="12">
        <v>400</v>
      </c>
      <c r="AO6" t="s">
        <v>34</v>
      </c>
      <c r="AP6" s="6">
        <v>25</v>
      </c>
      <c r="AT6">
        <v>2</v>
      </c>
      <c r="AU6">
        <v>3</v>
      </c>
      <c r="AV6" t="s">
        <v>212</v>
      </c>
    </row>
    <row r="7" spans="1:48">
      <c r="A7" t="s">
        <v>235</v>
      </c>
      <c r="B7" t="s">
        <v>89</v>
      </c>
      <c r="C7">
        <v>800</v>
      </c>
      <c r="I7" s="3" t="s">
        <v>35</v>
      </c>
      <c r="J7" s="4">
        <v>115</v>
      </c>
      <c r="K7" s="4">
        <v>108</v>
      </c>
      <c r="L7" s="4">
        <v>108</v>
      </c>
      <c r="M7" s="7">
        <v>5</v>
      </c>
      <c r="N7" s="7">
        <v>1326</v>
      </c>
      <c r="O7" t="s">
        <v>170</v>
      </c>
      <c r="P7">
        <v>10</v>
      </c>
      <c r="Q7" s="9">
        <v>9.01</v>
      </c>
      <c r="R7" s="9">
        <v>11.5</v>
      </c>
      <c r="S7" s="6">
        <v>6990</v>
      </c>
      <c r="T7" t="s">
        <v>146</v>
      </c>
      <c r="U7">
        <v>8</v>
      </c>
      <c r="V7" s="9">
        <v>7.01</v>
      </c>
      <c r="W7" s="9">
        <v>9</v>
      </c>
      <c r="X7" s="6">
        <v>3270</v>
      </c>
      <c r="Z7" s="7" t="s">
        <v>165</v>
      </c>
      <c r="AA7" s="10">
        <v>20.48</v>
      </c>
      <c r="AB7" s="6">
        <v>27410</v>
      </c>
      <c r="AC7" s="3">
        <v>20.010000000000002</v>
      </c>
      <c r="AD7" s="3">
        <v>30</v>
      </c>
      <c r="AE7" s="4">
        <v>5800</v>
      </c>
      <c r="AF7" s="3">
        <v>25.01</v>
      </c>
      <c r="AG7" s="3">
        <v>35</v>
      </c>
      <c r="AH7" s="4">
        <v>2800</v>
      </c>
      <c r="AL7" s="11">
        <v>30.01</v>
      </c>
      <c r="AM7" s="11">
        <v>50</v>
      </c>
      <c r="AN7" s="12">
        <v>350</v>
      </c>
      <c r="AO7" t="s">
        <v>36</v>
      </c>
      <c r="AP7" s="6">
        <v>2500</v>
      </c>
      <c r="AT7">
        <v>3</v>
      </c>
      <c r="AU7">
        <v>1</v>
      </c>
      <c r="AV7" t="s">
        <v>223</v>
      </c>
    </row>
    <row r="8" spans="1:48">
      <c r="A8" t="s">
        <v>188</v>
      </c>
      <c r="I8" s="3" t="s">
        <v>37</v>
      </c>
      <c r="J8" s="4">
        <v>145</v>
      </c>
      <c r="K8" s="4">
        <v>152</v>
      </c>
      <c r="L8" s="4">
        <v>152</v>
      </c>
      <c r="M8" s="7">
        <v>6</v>
      </c>
      <c r="N8" s="7">
        <v>1326</v>
      </c>
      <c r="O8" t="s">
        <v>171</v>
      </c>
      <c r="P8">
        <v>15</v>
      </c>
      <c r="Q8" s="9">
        <v>11.51</v>
      </c>
      <c r="R8" s="9">
        <v>16.5</v>
      </c>
      <c r="S8" s="6">
        <v>8290</v>
      </c>
      <c r="T8" t="s">
        <v>147</v>
      </c>
      <c r="U8">
        <v>10</v>
      </c>
      <c r="V8" s="9">
        <v>9.01</v>
      </c>
      <c r="W8" s="9">
        <v>11</v>
      </c>
      <c r="X8" s="6">
        <v>3440</v>
      </c>
      <c r="Z8" s="7" t="s">
        <v>139</v>
      </c>
      <c r="AA8" s="10">
        <v>10.24</v>
      </c>
      <c r="AB8" s="6">
        <v>14330</v>
      </c>
      <c r="AC8" s="3">
        <v>30.01</v>
      </c>
      <c r="AD8" s="3">
        <v>40</v>
      </c>
      <c r="AE8" s="4">
        <v>7200</v>
      </c>
      <c r="AF8" s="3">
        <v>35.01</v>
      </c>
      <c r="AG8" s="3">
        <v>45</v>
      </c>
      <c r="AH8" s="4">
        <v>3000</v>
      </c>
      <c r="AL8" s="11"/>
      <c r="AM8" s="11"/>
      <c r="AN8" s="12"/>
      <c r="AO8" t="s">
        <v>38</v>
      </c>
      <c r="AP8" s="6">
        <v>600</v>
      </c>
      <c r="AT8">
        <v>3</v>
      </c>
      <c r="AU8">
        <v>2</v>
      </c>
      <c r="AV8" t="s">
        <v>212</v>
      </c>
    </row>
    <row r="9" spans="1:48">
      <c r="A9" t="s">
        <v>236</v>
      </c>
      <c r="I9" s="3" t="s">
        <v>39</v>
      </c>
      <c r="J9" s="4">
        <v>180</v>
      </c>
      <c r="K9" s="4"/>
      <c r="L9" s="4"/>
      <c r="M9" s="7">
        <v>7</v>
      </c>
      <c r="N9" s="7">
        <v>1768</v>
      </c>
      <c r="O9" t="s">
        <v>172</v>
      </c>
      <c r="P9">
        <v>20</v>
      </c>
      <c r="Q9" s="9">
        <v>16.510000000000002</v>
      </c>
      <c r="R9" s="9">
        <v>20</v>
      </c>
      <c r="S9" s="6">
        <v>8790</v>
      </c>
      <c r="T9" t="s">
        <v>148</v>
      </c>
      <c r="U9">
        <v>12</v>
      </c>
      <c r="V9" s="9">
        <v>11.01</v>
      </c>
      <c r="W9" s="9">
        <v>13.5</v>
      </c>
      <c r="X9" s="6">
        <v>3670</v>
      </c>
      <c r="Z9" s="7" t="s">
        <v>140</v>
      </c>
      <c r="AA9" s="10">
        <v>15.36</v>
      </c>
      <c r="AB9" s="6">
        <v>20870</v>
      </c>
      <c r="AC9" s="3">
        <v>40.01</v>
      </c>
      <c r="AD9" s="3">
        <v>50</v>
      </c>
      <c r="AE9" s="4">
        <v>8200</v>
      </c>
      <c r="AF9" s="3">
        <v>45.01</v>
      </c>
      <c r="AG9" s="3">
        <v>50</v>
      </c>
      <c r="AH9" s="4">
        <v>3500</v>
      </c>
      <c r="AL9" s="75" t="s">
        <v>183</v>
      </c>
      <c r="AM9" s="75"/>
      <c r="AN9" s="75"/>
      <c r="AO9" t="s">
        <v>29</v>
      </c>
      <c r="AP9" s="6">
        <v>650</v>
      </c>
    </row>
    <row r="10" spans="1:48">
      <c r="A10" t="s">
        <v>237</v>
      </c>
      <c r="I10" s="3" t="s">
        <v>41</v>
      </c>
      <c r="J10" s="4">
        <v>145</v>
      </c>
      <c r="K10" s="4"/>
      <c r="L10" s="4"/>
      <c r="M10" s="7">
        <v>8</v>
      </c>
      <c r="N10" s="7">
        <v>1768</v>
      </c>
      <c r="Q10" s="9"/>
      <c r="R10" s="9"/>
      <c r="S10" s="6"/>
      <c r="T10" t="s">
        <v>149</v>
      </c>
      <c r="U10">
        <v>15</v>
      </c>
      <c r="V10" s="9">
        <v>13.51</v>
      </c>
      <c r="W10" s="9">
        <v>16</v>
      </c>
      <c r="X10" s="6">
        <v>4290</v>
      </c>
      <c r="Z10" s="7" t="s">
        <v>141</v>
      </c>
      <c r="AA10" s="10">
        <v>20.48</v>
      </c>
      <c r="AB10" s="6">
        <v>27410</v>
      </c>
      <c r="AN10" s="41">
        <v>800</v>
      </c>
      <c r="AO10" t="s">
        <v>48</v>
      </c>
      <c r="AP10" s="6">
        <v>2000</v>
      </c>
    </row>
    <row r="11" spans="1:48">
      <c r="I11" s="3" t="s">
        <v>43</v>
      </c>
      <c r="J11" s="4">
        <v>240</v>
      </c>
      <c r="K11" s="4"/>
      <c r="L11" s="4"/>
      <c r="M11" s="7">
        <v>9</v>
      </c>
      <c r="N11" s="7">
        <v>2210</v>
      </c>
      <c r="Q11" s="9"/>
      <c r="R11" s="9"/>
      <c r="S11" s="6"/>
      <c r="T11" t="s">
        <v>150</v>
      </c>
      <c r="U11">
        <v>17</v>
      </c>
      <c r="V11" s="9">
        <v>16.010000000000002</v>
      </c>
      <c r="W11" s="9">
        <v>18</v>
      </c>
      <c r="X11" s="6">
        <v>4560</v>
      </c>
      <c r="Y11" t="s">
        <v>44</v>
      </c>
      <c r="Z11" s="6" t="s">
        <v>45</v>
      </c>
      <c r="AA11" s="6">
        <v>0</v>
      </c>
      <c r="AB11" s="6">
        <v>0</v>
      </c>
      <c r="AO11" t="s">
        <v>135</v>
      </c>
      <c r="AP11" s="6">
        <v>2200</v>
      </c>
    </row>
    <row r="12" spans="1:48">
      <c r="I12" s="3" t="s">
        <v>47</v>
      </c>
      <c r="J12" s="4">
        <v>20</v>
      </c>
      <c r="K12" s="4"/>
      <c r="L12" s="4"/>
      <c r="M12" s="7">
        <v>10</v>
      </c>
      <c r="N12" s="7">
        <v>2210</v>
      </c>
      <c r="Q12" s="9"/>
      <c r="R12" s="9"/>
      <c r="S12" s="6"/>
      <c r="T12" t="s">
        <v>151</v>
      </c>
      <c r="U12">
        <v>20</v>
      </c>
      <c r="V12" s="9">
        <v>18.010000000000002</v>
      </c>
      <c r="W12" s="9">
        <v>21</v>
      </c>
      <c r="X12" s="6">
        <v>5150</v>
      </c>
      <c r="Y12" s="6"/>
      <c r="Z12" s="6"/>
      <c r="AA12" s="6"/>
      <c r="AB12" s="6"/>
      <c r="AO12" t="s">
        <v>136</v>
      </c>
      <c r="AP12" s="6">
        <v>1200</v>
      </c>
    </row>
    <row r="13" spans="1:48">
      <c r="I13" t="s">
        <v>49</v>
      </c>
      <c r="J13" s="4">
        <v>230</v>
      </c>
      <c r="K13" s="4"/>
      <c r="L13" s="4"/>
      <c r="M13" s="7">
        <v>11</v>
      </c>
      <c r="N13" s="7">
        <v>2652</v>
      </c>
      <c r="O13" s="7"/>
      <c r="P13" s="7"/>
      <c r="Q13" s="7"/>
      <c r="R13" s="7"/>
      <c r="S13" s="7"/>
      <c r="T13" t="s">
        <v>159</v>
      </c>
      <c r="U13">
        <v>22</v>
      </c>
      <c r="V13" s="9">
        <v>21.01</v>
      </c>
      <c r="W13" s="9">
        <v>23</v>
      </c>
      <c r="X13" s="6">
        <v>5340</v>
      </c>
      <c r="Y13" s="6"/>
      <c r="Z13" s="39" t="s">
        <v>178</v>
      </c>
      <c r="AB13" s="6"/>
      <c r="AC13" s="3">
        <v>0</v>
      </c>
      <c r="AD13" s="3">
        <v>8.6</v>
      </c>
      <c r="AE13" s="4">
        <v>2269</v>
      </c>
      <c r="AF13" s="3">
        <v>0</v>
      </c>
      <c r="AG13" s="3">
        <v>3.6</v>
      </c>
      <c r="AH13" s="4">
        <v>1200</v>
      </c>
      <c r="AO13" t="s">
        <v>99</v>
      </c>
      <c r="AP13" s="6">
        <v>2000</v>
      </c>
    </row>
    <row r="14" spans="1:48">
      <c r="I14" t="s">
        <v>50</v>
      </c>
      <c r="J14" s="4">
        <v>50</v>
      </c>
      <c r="K14" s="4"/>
      <c r="L14" s="4"/>
      <c r="M14" s="7">
        <v>12</v>
      </c>
      <c r="N14" s="7">
        <v>2652</v>
      </c>
      <c r="O14" s="7"/>
      <c r="P14" s="7"/>
      <c r="Q14" s="7"/>
      <c r="R14" s="7"/>
      <c r="S14" s="7"/>
      <c r="T14" t="s">
        <v>152</v>
      </c>
      <c r="U14">
        <v>25</v>
      </c>
      <c r="V14" s="9">
        <v>23.01</v>
      </c>
      <c r="W14" s="9">
        <v>27.5</v>
      </c>
      <c r="X14" s="6">
        <v>5790</v>
      </c>
      <c r="Y14" s="6"/>
      <c r="Z14" t="s">
        <v>179</v>
      </c>
      <c r="AA14" s="10">
        <v>5.12</v>
      </c>
      <c r="AB14" s="6">
        <v>3012</v>
      </c>
      <c r="AC14" s="3">
        <v>5.51</v>
      </c>
      <c r="AD14" s="3">
        <v>16.8</v>
      </c>
      <c r="AE14" s="4">
        <v>2469</v>
      </c>
      <c r="AF14" s="3">
        <v>7.01</v>
      </c>
      <c r="AG14" s="3">
        <v>7.2</v>
      </c>
      <c r="AH14" s="4">
        <v>1600</v>
      </c>
      <c r="AO14" t="s">
        <v>160</v>
      </c>
      <c r="AP14" s="6">
        <v>600</v>
      </c>
    </row>
    <row r="15" spans="1:48">
      <c r="M15" s="7">
        <v>13</v>
      </c>
      <c r="N15" s="7">
        <v>3094</v>
      </c>
      <c r="O15" s="7"/>
      <c r="P15" s="7"/>
      <c r="Q15" s="7"/>
      <c r="S15" s="7"/>
      <c r="T15" t="s">
        <v>153</v>
      </c>
      <c r="U15">
        <v>30</v>
      </c>
      <c r="V15" s="9">
        <v>27.51</v>
      </c>
      <c r="W15" s="9">
        <v>31.5</v>
      </c>
      <c r="X15" s="6">
        <v>6350</v>
      </c>
      <c r="Y15" s="6"/>
      <c r="Z15" t="s">
        <v>180</v>
      </c>
      <c r="AA15" s="10">
        <v>10.24</v>
      </c>
      <c r="AB15" s="6">
        <f>AB14+3000</f>
        <v>6012</v>
      </c>
      <c r="AC15" s="3">
        <v>10.01</v>
      </c>
      <c r="AD15" s="3">
        <v>25</v>
      </c>
      <c r="AE15" s="4">
        <v>2769</v>
      </c>
      <c r="AF15" s="3">
        <v>10</v>
      </c>
      <c r="AG15" s="3">
        <v>10</v>
      </c>
      <c r="AH15" s="4">
        <v>2000</v>
      </c>
      <c r="AO15" t="s">
        <v>40</v>
      </c>
      <c r="AP15" s="6">
        <v>800</v>
      </c>
    </row>
    <row r="16" spans="1:48">
      <c r="I16" s="39" t="s">
        <v>175</v>
      </c>
      <c r="J16" t="s">
        <v>227</v>
      </c>
      <c r="K16" t="s">
        <v>228</v>
      </c>
      <c r="M16" s="7">
        <v>14</v>
      </c>
      <c r="N16" s="7">
        <v>3094</v>
      </c>
      <c r="O16" s="7"/>
      <c r="P16" s="7"/>
      <c r="Q16" s="7"/>
      <c r="R16" s="7"/>
      <c r="S16" s="7"/>
      <c r="T16" t="s">
        <v>154</v>
      </c>
      <c r="U16">
        <v>33</v>
      </c>
      <c r="V16" s="9">
        <v>31.51</v>
      </c>
      <c r="W16" s="9">
        <v>34.5</v>
      </c>
      <c r="X16" s="6">
        <v>7090</v>
      </c>
      <c r="Y16" s="6"/>
      <c r="Z16" t="s">
        <v>181</v>
      </c>
      <c r="AA16" s="10">
        <v>15.36</v>
      </c>
      <c r="AB16" s="6">
        <f>AB15+3000</f>
        <v>9012</v>
      </c>
      <c r="AC16" s="3">
        <v>15.51</v>
      </c>
      <c r="AD16" s="3">
        <v>31</v>
      </c>
      <c r="AE16" s="4">
        <v>3069</v>
      </c>
      <c r="AF16" s="3">
        <v>15.01</v>
      </c>
      <c r="AG16" s="3">
        <v>15.5</v>
      </c>
      <c r="AH16" s="4">
        <v>2200</v>
      </c>
      <c r="AO16" t="s">
        <v>42</v>
      </c>
      <c r="AP16" s="6">
        <v>500</v>
      </c>
      <c r="AQ16">
        <v>1500</v>
      </c>
    </row>
    <row r="17" spans="8:43">
      <c r="I17" s="40" t="s">
        <v>25</v>
      </c>
      <c r="J17" s="4">
        <v>72.5</v>
      </c>
      <c r="M17" s="7">
        <v>15</v>
      </c>
      <c r="N17" s="7">
        <v>3536</v>
      </c>
      <c r="T17" t="s">
        <v>155</v>
      </c>
      <c r="U17">
        <v>36</v>
      </c>
      <c r="V17" s="9">
        <v>34.51</v>
      </c>
      <c r="W17" s="9">
        <v>37.5</v>
      </c>
      <c r="X17" s="6">
        <v>7590</v>
      </c>
      <c r="Y17" s="6"/>
      <c r="Z17" t="s">
        <v>182</v>
      </c>
      <c r="AA17" s="10">
        <v>20.48</v>
      </c>
      <c r="AB17" s="6">
        <f>AB16+3000</f>
        <v>12012</v>
      </c>
      <c r="AC17" s="3">
        <v>20.010000000000002</v>
      </c>
      <c r="AD17" s="3">
        <v>35</v>
      </c>
      <c r="AE17" s="4">
        <v>5800</v>
      </c>
      <c r="AF17" s="3">
        <v>25.01</v>
      </c>
      <c r="AG17" s="3">
        <v>20.100000000000001</v>
      </c>
      <c r="AH17" s="4">
        <v>2400</v>
      </c>
      <c r="AO17" t="s">
        <v>46</v>
      </c>
      <c r="AP17" s="6">
        <v>1200</v>
      </c>
    </row>
    <row r="18" spans="8:43">
      <c r="H18" t="e" cm="1">
        <f t="array" ref="H18">_xlfn.IFS($F$16=Baza!$F$3,Baza!$I$3:$I$13,$F$16=Baza!$F$4,Baza!$I$14)</f>
        <v>#N/A</v>
      </c>
      <c r="I18" s="40" t="s">
        <v>176</v>
      </c>
      <c r="J18" s="4">
        <v>53.41</v>
      </c>
      <c r="M18" s="7">
        <v>16</v>
      </c>
      <c r="N18" s="7">
        <v>3536</v>
      </c>
      <c r="T18" t="s">
        <v>156</v>
      </c>
      <c r="U18">
        <v>40</v>
      </c>
      <c r="V18" s="9">
        <v>37.51</v>
      </c>
      <c r="W18" s="9">
        <v>42.5</v>
      </c>
      <c r="X18" s="6">
        <v>7490</v>
      </c>
      <c r="Y18" s="6"/>
      <c r="Z18" s="6"/>
      <c r="AA18" s="6"/>
      <c r="AB18" s="6"/>
      <c r="AC18" s="3">
        <v>30.01</v>
      </c>
      <c r="AD18" s="3">
        <v>40</v>
      </c>
      <c r="AE18" s="4">
        <v>7200</v>
      </c>
      <c r="AF18" s="3">
        <v>35.01</v>
      </c>
      <c r="AG18" s="3">
        <v>26.5</v>
      </c>
      <c r="AH18" s="4">
        <v>2600</v>
      </c>
      <c r="AO18" t="s">
        <v>213</v>
      </c>
      <c r="AP18" s="6">
        <v>600</v>
      </c>
    </row>
    <row r="19" spans="8:43">
      <c r="I19" s="40" t="s">
        <v>35</v>
      </c>
      <c r="J19" s="4">
        <v>108</v>
      </c>
      <c r="M19" s="7">
        <v>17</v>
      </c>
      <c r="N19" s="7">
        <v>3978</v>
      </c>
      <c r="T19" t="s">
        <v>157</v>
      </c>
      <c r="U19">
        <v>45</v>
      </c>
      <c r="V19" s="9">
        <v>42.51</v>
      </c>
      <c r="W19" s="9">
        <v>47.5</v>
      </c>
      <c r="X19" s="6">
        <v>6392</v>
      </c>
      <c r="Y19" s="6"/>
      <c r="Z19" s="39" t="s">
        <v>191</v>
      </c>
      <c r="AB19" s="6"/>
      <c r="AC19" s="3">
        <v>40.01</v>
      </c>
      <c r="AD19" s="3">
        <v>50</v>
      </c>
      <c r="AE19" s="4">
        <v>8200</v>
      </c>
      <c r="AF19" s="3">
        <v>45.01</v>
      </c>
      <c r="AG19" s="3">
        <v>32</v>
      </c>
      <c r="AH19" s="4">
        <v>2800</v>
      </c>
      <c r="AO19" t="s">
        <v>215</v>
      </c>
      <c r="AP19" s="6">
        <v>1400</v>
      </c>
      <c r="AQ19">
        <v>1000</v>
      </c>
    </row>
    <row r="20" spans="8:43">
      <c r="I20" s="40" t="s">
        <v>177</v>
      </c>
      <c r="J20" s="4">
        <v>152</v>
      </c>
      <c r="M20" s="7">
        <v>18</v>
      </c>
      <c r="N20" s="7">
        <v>3978</v>
      </c>
      <c r="T20" t="s">
        <v>158</v>
      </c>
      <c r="U20">
        <v>50</v>
      </c>
      <c r="V20" s="9">
        <v>47.51</v>
      </c>
      <c r="W20" s="9">
        <v>50</v>
      </c>
      <c r="X20" s="6">
        <v>8450</v>
      </c>
      <c r="Y20" s="6"/>
      <c r="Z20" t="s">
        <v>179</v>
      </c>
      <c r="AA20" s="10">
        <v>5.12</v>
      </c>
      <c r="AB20" s="6">
        <v>5176</v>
      </c>
      <c r="AG20" s="3">
        <v>38</v>
      </c>
      <c r="AH20" s="4">
        <v>3000</v>
      </c>
    </row>
    <row r="21" spans="8:43">
      <c r="I21" s="40" t="s">
        <v>43</v>
      </c>
      <c r="J21" s="4">
        <v>442</v>
      </c>
      <c r="K21">
        <v>1768</v>
      </c>
      <c r="M21" s="7">
        <v>19</v>
      </c>
      <c r="N21" s="7">
        <v>4420</v>
      </c>
      <c r="U21" s="9"/>
      <c r="W21" s="9"/>
      <c r="X21" s="6"/>
      <c r="Y21" s="6"/>
      <c r="Z21" t="s">
        <v>180</v>
      </c>
      <c r="AA21" s="10">
        <v>10.24</v>
      </c>
      <c r="AB21" s="6">
        <f>AB20*2</f>
        <v>10352</v>
      </c>
      <c r="AG21" s="3">
        <v>43</v>
      </c>
      <c r="AH21" s="4">
        <v>3200</v>
      </c>
      <c r="AO21" t="s">
        <v>100</v>
      </c>
      <c r="AP21" s="6">
        <v>340</v>
      </c>
    </row>
    <row r="22" spans="8:43">
      <c r="M22" s="7">
        <v>20</v>
      </c>
      <c r="N22" s="7">
        <v>4420</v>
      </c>
      <c r="O22" s="46" t="s">
        <v>197</v>
      </c>
      <c r="P22" s="46">
        <v>3</v>
      </c>
      <c r="Q22" s="47">
        <v>4.5</v>
      </c>
      <c r="R22" s="47">
        <v>3.65</v>
      </c>
      <c r="S22" s="48">
        <v>3350</v>
      </c>
      <c r="V22" s="9"/>
      <c r="W22" s="9"/>
      <c r="X22" s="6"/>
      <c r="Y22" s="6"/>
      <c r="Z22" t="s">
        <v>181</v>
      </c>
      <c r="AA22" s="10">
        <v>15.36</v>
      </c>
      <c r="AB22" s="6">
        <f>AB20*3</f>
        <v>15528</v>
      </c>
      <c r="AG22" s="3">
        <v>47.5</v>
      </c>
      <c r="AH22" s="4">
        <v>3400</v>
      </c>
      <c r="AO22" t="s">
        <v>101</v>
      </c>
      <c r="AP22" s="6">
        <v>580</v>
      </c>
    </row>
    <row r="23" spans="8:43">
      <c r="J23" s="4"/>
      <c r="M23" s="7">
        <v>21</v>
      </c>
      <c r="N23" s="7">
        <v>4862</v>
      </c>
      <c r="O23" t="s">
        <v>198</v>
      </c>
      <c r="P23">
        <v>5</v>
      </c>
      <c r="Q23" s="9">
        <v>6.8</v>
      </c>
      <c r="R23" s="9">
        <v>5.5</v>
      </c>
      <c r="S23" s="6">
        <v>4525</v>
      </c>
      <c r="T23">
        <v>6058</v>
      </c>
      <c r="V23" s="9"/>
      <c r="W23" s="9"/>
      <c r="X23" s="6"/>
      <c r="Y23" s="6"/>
      <c r="Z23" t="s">
        <v>182</v>
      </c>
      <c r="AA23" s="10">
        <v>20.48</v>
      </c>
      <c r="AB23" s="6">
        <f>AB20*4</f>
        <v>20704</v>
      </c>
      <c r="AG23" s="3">
        <v>51</v>
      </c>
      <c r="AH23" s="4">
        <v>3600</v>
      </c>
      <c r="AM23" s="1"/>
    </row>
    <row r="24" spans="8:43">
      <c r="J24" s="4"/>
      <c r="M24" s="7">
        <v>22</v>
      </c>
      <c r="N24" s="7">
        <v>4862</v>
      </c>
      <c r="O24" t="s">
        <v>199</v>
      </c>
      <c r="P24">
        <v>6</v>
      </c>
      <c r="Q24" s="9">
        <v>10</v>
      </c>
      <c r="R24" s="9">
        <v>7</v>
      </c>
      <c r="S24" s="6">
        <v>4594</v>
      </c>
      <c r="T24">
        <v>6179</v>
      </c>
      <c r="Y24" s="6"/>
      <c r="Z24" s="6"/>
      <c r="AA24" s="6"/>
    </row>
    <row r="25" spans="8:43">
      <c r="M25" s="7">
        <v>23</v>
      </c>
      <c r="N25" s="7">
        <v>5304</v>
      </c>
      <c r="O25" t="s">
        <v>200</v>
      </c>
      <c r="P25">
        <v>8</v>
      </c>
      <c r="Q25" s="9">
        <v>7.01</v>
      </c>
      <c r="R25" s="9">
        <v>9</v>
      </c>
      <c r="S25" s="6">
        <v>4825</v>
      </c>
      <c r="T25">
        <v>6306</v>
      </c>
      <c r="V25" s="9"/>
      <c r="W25" s="9"/>
      <c r="X25" s="6"/>
      <c r="Y25" s="6"/>
      <c r="Z25" s="6"/>
      <c r="AA25" s="6"/>
    </row>
    <row r="26" spans="8:43">
      <c r="M26" s="7">
        <v>24</v>
      </c>
      <c r="N26" s="7">
        <v>5304</v>
      </c>
      <c r="O26" t="s">
        <v>201</v>
      </c>
      <c r="P26">
        <v>10</v>
      </c>
      <c r="Q26" s="9">
        <v>9.01</v>
      </c>
      <c r="R26" s="9">
        <v>11.5</v>
      </c>
      <c r="S26" s="6">
        <v>4965</v>
      </c>
      <c r="T26">
        <v>6432</v>
      </c>
      <c r="V26" s="9"/>
      <c r="W26" s="9"/>
      <c r="X26" s="6"/>
      <c r="Y26" s="6"/>
      <c r="Z26" s="6" t="s">
        <v>217</v>
      </c>
      <c r="AA26" s="6"/>
      <c r="AB26" s="6"/>
      <c r="AC26" s="3">
        <v>0</v>
      </c>
      <c r="AD26" s="3">
        <v>7</v>
      </c>
      <c r="AE26" s="4">
        <v>1264</v>
      </c>
      <c r="AF26" s="3">
        <v>0</v>
      </c>
      <c r="AG26" s="3">
        <v>3.6</v>
      </c>
      <c r="AH26" s="4">
        <v>1600</v>
      </c>
    </row>
    <row r="27" spans="8:43">
      <c r="M27" s="7">
        <v>25</v>
      </c>
      <c r="N27" s="7">
        <v>5746</v>
      </c>
      <c r="O27" t="s">
        <v>202</v>
      </c>
      <c r="P27" s="7">
        <v>12</v>
      </c>
      <c r="Q27" s="7"/>
      <c r="R27" s="7">
        <v>20</v>
      </c>
      <c r="S27" s="6">
        <v>5019</v>
      </c>
      <c r="T27">
        <v>6550</v>
      </c>
      <c r="V27" s="9"/>
      <c r="W27" s="9"/>
      <c r="X27" s="6"/>
      <c r="Y27" s="6"/>
      <c r="Z27" s="6" t="s">
        <v>218</v>
      </c>
      <c r="AA27" s="6"/>
      <c r="AB27" s="6"/>
      <c r="AC27" s="3">
        <v>5.51</v>
      </c>
      <c r="AD27" s="3">
        <v>12.5</v>
      </c>
      <c r="AE27" s="4">
        <v>1469</v>
      </c>
      <c r="AF27" s="3">
        <v>3.61</v>
      </c>
      <c r="AG27" s="3">
        <v>5.4</v>
      </c>
      <c r="AH27" s="4">
        <v>1800</v>
      </c>
    </row>
    <row r="28" spans="8:43">
      <c r="M28" s="7">
        <v>26</v>
      </c>
      <c r="N28" s="7">
        <v>5746</v>
      </c>
      <c r="O28" t="s">
        <v>203</v>
      </c>
      <c r="P28" s="7">
        <v>15</v>
      </c>
      <c r="Q28" s="7"/>
      <c r="R28" s="7">
        <v>30</v>
      </c>
      <c r="S28" s="6">
        <v>6283</v>
      </c>
      <c r="T28">
        <v>7782</v>
      </c>
      <c r="V28" s="9"/>
      <c r="W28" s="9"/>
      <c r="X28" s="6"/>
      <c r="Y28" s="6"/>
      <c r="Z28" s="6"/>
      <c r="AA28" s="6"/>
      <c r="AB28" s="6"/>
      <c r="AC28" s="3">
        <v>10.01</v>
      </c>
      <c r="AD28" s="3">
        <v>18</v>
      </c>
      <c r="AE28" s="4">
        <v>1869</v>
      </c>
      <c r="AF28" s="3">
        <v>7.21</v>
      </c>
      <c r="AG28" s="3">
        <v>7.3</v>
      </c>
      <c r="AH28" s="4">
        <v>2000</v>
      </c>
    </row>
    <row r="29" spans="8:43">
      <c r="M29" s="7">
        <v>27</v>
      </c>
      <c r="N29" s="7">
        <v>6188</v>
      </c>
      <c r="O29" t="s">
        <v>204</v>
      </c>
      <c r="P29" s="7">
        <v>20</v>
      </c>
      <c r="Q29" s="7"/>
      <c r="R29" s="7">
        <v>51</v>
      </c>
      <c r="S29" s="6">
        <v>7326</v>
      </c>
      <c r="T29">
        <v>9897</v>
      </c>
      <c r="V29" s="9"/>
      <c r="W29" s="9"/>
      <c r="X29" s="6"/>
      <c r="AC29" s="3">
        <v>15.51</v>
      </c>
      <c r="AD29" s="3">
        <v>25.1</v>
      </c>
      <c r="AE29" s="4">
        <v>2069</v>
      </c>
      <c r="AF29" s="3">
        <v>15.01</v>
      </c>
      <c r="AG29" s="3">
        <v>10</v>
      </c>
      <c r="AH29" s="4">
        <v>2200</v>
      </c>
    </row>
    <row r="30" spans="8:43">
      <c r="M30" s="7">
        <v>28</v>
      </c>
      <c r="N30" s="7">
        <v>6188</v>
      </c>
      <c r="O30" s="7"/>
      <c r="P30" s="7"/>
      <c r="Q30" s="7"/>
      <c r="R30" s="7"/>
      <c r="S30" s="7"/>
      <c r="AC30" s="3">
        <v>20.010000000000002</v>
      </c>
      <c r="AD30" s="3">
        <v>33</v>
      </c>
      <c r="AE30" s="4">
        <v>2369</v>
      </c>
      <c r="AF30" s="3">
        <v>25.01</v>
      </c>
      <c r="AG30" s="3">
        <v>35</v>
      </c>
      <c r="AH30" s="4">
        <v>2800</v>
      </c>
    </row>
    <row r="31" spans="8:43">
      <c r="M31" s="7">
        <v>29</v>
      </c>
      <c r="N31" s="7">
        <v>6630</v>
      </c>
      <c r="O31" s="7"/>
      <c r="P31" s="7"/>
      <c r="Q31" s="7"/>
      <c r="R31" s="7"/>
      <c r="S31" s="7"/>
      <c r="AC31" s="3">
        <v>30.01</v>
      </c>
      <c r="AD31" s="3">
        <v>41</v>
      </c>
      <c r="AE31" s="4">
        <v>2669</v>
      </c>
      <c r="AF31" s="3">
        <v>35.01</v>
      </c>
      <c r="AG31" s="3">
        <v>45</v>
      </c>
      <c r="AH31" s="4">
        <v>3000</v>
      </c>
    </row>
    <row r="32" spans="8:43">
      <c r="M32" s="7">
        <v>30</v>
      </c>
      <c r="N32" s="7">
        <v>6630</v>
      </c>
      <c r="O32" s="7"/>
      <c r="P32" s="7"/>
      <c r="Q32" s="7"/>
      <c r="R32" s="7"/>
      <c r="S32" s="7"/>
      <c r="AA32" cm="1">
        <f t="array" ref="AA32">_xlfn.IFS(Obliczenia!$D$1&lt;=Baza!$AD$26,Baza!$AE$26,Obliczenia!$D$1&lt;=Baza!$AD$27,Baza!$AE$27,Obliczenia!$D$1&lt;=Baza!$AD$28,Baza!$AE$28,Obliczenia!$D$1&lt;=Baza!$AD$29,Baza!$AE$29,Obliczenia!$D$1&lt;=Baza!$AD$30,Baza!$AE$30,Obliczenia!$D$1&lt;=Baza!$AD$31,Baza!$AE$31,Obliczenia!$D$1&lt;=Baza!$AD$32,Baza!$AE$32,Obliczenia!$D$1&lt;=Baza!$AD$33,Baza!$AE$33)</f>
        <v>1264</v>
      </c>
      <c r="AC32" s="3">
        <v>40.01</v>
      </c>
      <c r="AD32" s="3">
        <v>49.5</v>
      </c>
      <c r="AE32" s="4">
        <v>3069</v>
      </c>
      <c r="AF32" s="3">
        <v>45.01</v>
      </c>
      <c r="AG32" s="3">
        <v>50</v>
      </c>
      <c r="AH32" s="4">
        <v>3500</v>
      </c>
    </row>
    <row r="33" spans="13:34">
      <c r="M33" s="7">
        <v>31</v>
      </c>
      <c r="N33" s="7">
        <v>7072</v>
      </c>
      <c r="O33" s="7"/>
      <c r="P33" s="7"/>
      <c r="Q33" s="7"/>
      <c r="R33" s="7"/>
      <c r="S33" s="7"/>
      <c r="AD33" s="3">
        <v>51</v>
      </c>
      <c r="AE33" s="4">
        <v>3369</v>
      </c>
    </row>
    <row r="34" spans="13:34">
      <c r="M34" s="7">
        <v>32</v>
      </c>
      <c r="N34" s="7">
        <v>7072</v>
      </c>
      <c r="O34" s="46" t="s">
        <v>197</v>
      </c>
      <c r="P34" s="46">
        <v>3</v>
      </c>
      <c r="Q34" s="47">
        <v>4.5</v>
      </c>
      <c r="R34" s="47">
        <v>3.65</v>
      </c>
      <c r="S34" s="48">
        <v>3350</v>
      </c>
    </row>
    <row r="35" spans="13:34">
      <c r="M35" s="7">
        <v>33</v>
      </c>
      <c r="N35" s="7">
        <v>7514</v>
      </c>
      <c r="O35" t="s">
        <v>198</v>
      </c>
      <c r="P35">
        <v>5</v>
      </c>
      <c r="Q35" s="9">
        <v>6.37</v>
      </c>
      <c r="R35" s="9">
        <v>6.8</v>
      </c>
      <c r="S35" s="6">
        <v>6058</v>
      </c>
    </row>
    <row r="36" spans="13:34">
      <c r="M36" s="7">
        <v>34</v>
      </c>
      <c r="N36" s="7">
        <v>7514</v>
      </c>
      <c r="O36" t="s">
        <v>199</v>
      </c>
      <c r="P36">
        <v>6</v>
      </c>
      <c r="Q36" s="9">
        <v>8.19</v>
      </c>
      <c r="R36" s="9">
        <v>8.6</v>
      </c>
      <c r="S36" s="6">
        <v>6179</v>
      </c>
      <c r="AF36" s="3">
        <v>0</v>
      </c>
      <c r="AG36" s="3">
        <v>3.6</v>
      </c>
      <c r="AH36" s="4">
        <v>1200</v>
      </c>
    </row>
    <row r="37" spans="13:34">
      <c r="M37" s="7">
        <v>35</v>
      </c>
      <c r="N37" s="7">
        <v>7956</v>
      </c>
      <c r="O37" t="s">
        <v>200</v>
      </c>
      <c r="P37">
        <v>8</v>
      </c>
      <c r="Q37" s="9">
        <v>10.47</v>
      </c>
      <c r="R37" s="9">
        <v>10.5</v>
      </c>
      <c r="S37" s="6">
        <v>6305</v>
      </c>
      <c r="AF37" s="3">
        <v>3.61</v>
      </c>
      <c r="AG37" s="3">
        <v>7</v>
      </c>
      <c r="AH37" s="4">
        <v>1600</v>
      </c>
    </row>
    <row r="38" spans="13:34">
      <c r="M38" s="7">
        <v>36</v>
      </c>
      <c r="N38" s="7">
        <v>7956</v>
      </c>
      <c r="O38" t="s">
        <v>201</v>
      </c>
      <c r="P38">
        <v>10</v>
      </c>
      <c r="Q38" s="9">
        <v>12.74</v>
      </c>
      <c r="R38" s="9">
        <v>13</v>
      </c>
      <c r="S38" s="6">
        <v>6431</v>
      </c>
      <c r="AF38" s="3">
        <v>7.21</v>
      </c>
      <c r="AG38" s="3">
        <v>10</v>
      </c>
      <c r="AH38" s="4">
        <v>2000</v>
      </c>
    </row>
    <row r="39" spans="13:34">
      <c r="M39" s="7">
        <v>37</v>
      </c>
      <c r="N39" s="7">
        <v>8398</v>
      </c>
      <c r="O39" t="s">
        <v>202</v>
      </c>
      <c r="P39" s="7">
        <v>12</v>
      </c>
      <c r="Q39" s="7">
        <v>15.47</v>
      </c>
      <c r="R39" s="7">
        <v>15.6</v>
      </c>
      <c r="S39" s="6">
        <v>6550</v>
      </c>
      <c r="AF39" s="3">
        <v>15.01</v>
      </c>
      <c r="AG39" s="3">
        <v>15.5</v>
      </c>
      <c r="AH39" s="4">
        <v>2200</v>
      </c>
    </row>
    <row r="40" spans="13:34">
      <c r="M40" s="7">
        <v>38</v>
      </c>
      <c r="N40" s="7">
        <v>8398</v>
      </c>
      <c r="O40" t="s">
        <v>203</v>
      </c>
      <c r="P40" s="7">
        <v>15</v>
      </c>
      <c r="Q40" s="7">
        <v>20.02</v>
      </c>
      <c r="R40" s="7">
        <v>20.100000000000001</v>
      </c>
      <c r="S40" s="6">
        <v>7781</v>
      </c>
      <c r="AF40" s="3">
        <v>25.01</v>
      </c>
      <c r="AG40" s="3">
        <v>20.100000000000001</v>
      </c>
      <c r="AH40" s="4">
        <v>2400</v>
      </c>
    </row>
    <row r="41" spans="13:34">
      <c r="M41" s="7">
        <v>39</v>
      </c>
      <c r="N41" s="7">
        <v>8840</v>
      </c>
      <c r="O41" t="s">
        <v>204</v>
      </c>
      <c r="P41" s="7">
        <v>20</v>
      </c>
      <c r="Q41" s="7">
        <v>30.03</v>
      </c>
      <c r="R41" s="7">
        <v>30.03</v>
      </c>
      <c r="S41" s="6">
        <v>9879</v>
      </c>
      <c r="AF41" s="3">
        <v>35.01</v>
      </c>
      <c r="AG41" s="3">
        <v>26.5</v>
      </c>
      <c r="AH41" s="4">
        <v>2600</v>
      </c>
    </row>
    <row r="42" spans="13:34">
      <c r="M42" s="7">
        <v>40</v>
      </c>
      <c r="N42" s="7">
        <v>8840</v>
      </c>
      <c r="O42" s="7"/>
      <c r="P42" s="7"/>
      <c r="Q42" s="7"/>
      <c r="R42" s="7"/>
      <c r="S42" s="7"/>
      <c r="AF42" s="3">
        <v>45.01</v>
      </c>
      <c r="AG42" s="3">
        <v>32</v>
      </c>
      <c r="AH42" s="4">
        <v>2800</v>
      </c>
    </row>
    <row r="43" spans="13:34">
      <c r="M43" s="7">
        <v>41</v>
      </c>
      <c r="N43" s="7">
        <v>9282</v>
      </c>
      <c r="O43" s="7"/>
      <c r="P43" s="7"/>
      <c r="Q43" s="7"/>
      <c r="R43" s="7"/>
      <c r="S43" s="7"/>
      <c r="AG43" s="3"/>
      <c r="AH43" s="4"/>
    </row>
    <row r="44" spans="13:34">
      <c r="M44" s="7">
        <v>42</v>
      </c>
      <c r="N44" s="7">
        <v>9282</v>
      </c>
      <c r="O44" s="7"/>
      <c r="P44" s="7"/>
      <c r="Q44" s="7"/>
      <c r="R44" s="7"/>
      <c r="S44" s="7"/>
      <c r="AG44" s="3"/>
      <c r="AH44" s="4"/>
    </row>
    <row r="45" spans="13:34">
      <c r="M45" s="7">
        <v>43</v>
      </c>
      <c r="N45" s="7">
        <v>9724</v>
      </c>
      <c r="O45" s="46" t="s">
        <v>197</v>
      </c>
      <c r="P45" s="46">
        <v>3</v>
      </c>
      <c r="Q45" s="47">
        <v>4.5</v>
      </c>
      <c r="R45" s="47">
        <v>3.65</v>
      </c>
      <c r="S45" s="48">
        <v>4442</v>
      </c>
      <c r="AG45" s="3"/>
      <c r="AH45" s="4"/>
    </row>
    <row r="46" spans="13:34">
      <c r="M46" s="7">
        <v>44</v>
      </c>
      <c r="N46" s="7">
        <v>9724</v>
      </c>
      <c r="O46" t="s">
        <v>198</v>
      </c>
      <c r="P46">
        <v>5</v>
      </c>
      <c r="Q46" s="9">
        <v>6.8</v>
      </c>
      <c r="R46" s="9">
        <v>7</v>
      </c>
      <c r="S46" s="6">
        <v>1264</v>
      </c>
      <c r="AG46" s="3"/>
      <c r="AH46" s="4"/>
    </row>
    <row r="47" spans="13:34">
      <c r="M47" s="7">
        <v>45</v>
      </c>
      <c r="N47" s="7">
        <v>10166</v>
      </c>
      <c r="O47" t="s">
        <v>199</v>
      </c>
      <c r="P47">
        <v>6</v>
      </c>
      <c r="Q47" s="9">
        <v>10</v>
      </c>
      <c r="R47" s="9">
        <v>12.5</v>
      </c>
      <c r="S47" s="6">
        <v>1469</v>
      </c>
    </row>
    <row r="48" spans="13:34">
      <c r="M48" s="7">
        <v>46</v>
      </c>
      <c r="N48" s="7">
        <v>10166</v>
      </c>
      <c r="O48" t="s">
        <v>200</v>
      </c>
      <c r="P48">
        <v>8</v>
      </c>
      <c r="Q48" s="9">
        <v>7.01</v>
      </c>
      <c r="R48" s="9">
        <v>18</v>
      </c>
      <c r="S48" s="6">
        <v>1869</v>
      </c>
    </row>
    <row r="49" spans="13:26">
      <c r="M49" s="7">
        <v>47</v>
      </c>
      <c r="N49" s="7">
        <v>10608</v>
      </c>
      <c r="O49" t="s">
        <v>201</v>
      </c>
      <c r="P49">
        <v>10</v>
      </c>
      <c r="Q49" s="9">
        <v>9.01</v>
      </c>
      <c r="R49" s="9">
        <v>25.1</v>
      </c>
      <c r="S49" s="6">
        <v>2069</v>
      </c>
    </row>
    <row r="50" spans="13:26">
      <c r="M50" s="7">
        <v>48</v>
      </c>
      <c r="N50" s="7">
        <v>10608</v>
      </c>
      <c r="O50" t="s">
        <v>202</v>
      </c>
      <c r="P50" s="7">
        <v>12</v>
      </c>
      <c r="Q50" s="7"/>
      <c r="R50" s="7">
        <v>33</v>
      </c>
      <c r="S50" s="6">
        <v>2369</v>
      </c>
      <c r="Z50" s="51"/>
    </row>
    <row r="51" spans="13:26">
      <c r="M51" s="7">
        <v>49</v>
      </c>
      <c r="N51" s="7">
        <v>11050</v>
      </c>
      <c r="O51" t="s">
        <v>203</v>
      </c>
      <c r="P51" s="7">
        <v>15</v>
      </c>
      <c r="Q51" s="7"/>
      <c r="R51" s="7">
        <v>41</v>
      </c>
      <c r="S51" s="6">
        <v>2669</v>
      </c>
    </row>
    <row r="52" spans="13:26">
      <c r="M52" s="7">
        <v>50</v>
      </c>
      <c r="N52" s="7">
        <v>11050</v>
      </c>
      <c r="O52" t="s">
        <v>204</v>
      </c>
      <c r="P52" s="7">
        <v>20</v>
      </c>
      <c r="Q52" s="7"/>
      <c r="R52" s="7">
        <v>49.5</v>
      </c>
      <c r="S52" s="6">
        <v>3069</v>
      </c>
    </row>
    <row r="53" spans="13:26">
      <c r="M53" s="7">
        <v>51</v>
      </c>
      <c r="N53" s="7">
        <v>11492</v>
      </c>
      <c r="O53" s="7"/>
      <c r="P53" s="7"/>
      <c r="Q53" s="7"/>
      <c r="R53" s="7">
        <v>51</v>
      </c>
      <c r="S53" s="6">
        <v>3369</v>
      </c>
    </row>
    <row r="54" spans="13:26">
      <c r="M54" s="7">
        <v>52</v>
      </c>
      <c r="N54" s="7">
        <v>11492</v>
      </c>
      <c r="O54" s="7"/>
      <c r="P54" s="7"/>
      <c r="Q54" s="7"/>
      <c r="R54" s="7"/>
      <c r="S54" s="7"/>
    </row>
    <row r="55" spans="13:26">
      <c r="M55" s="7">
        <v>53</v>
      </c>
      <c r="N55" s="7">
        <v>11934</v>
      </c>
      <c r="O55" s="7"/>
      <c r="P55" s="7"/>
      <c r="Q55" s="7"/>
      <c r="R55" s="7"/>
      <c r="S55" s="7"/>
    </row>
    <row r="56" spans="13:26">
      <c r="M56" s="7">
        <v>54</v>
      </c>
      <c r="N56" s="7">
        <v>11934</v>
      </c>
      <c r="O56" s="7"/>
      <c r="P56" s="7"/>
      <c r="Q56" s="7"/>
      <c r="R56" s="7"/>
      <c r="S56" s="7"/>
    </row>
    <row r="57" spans="13:26">
      <c r="M57" s="7">
        <v>55</v>
      </c>
      <c r="N57" s="7">
        <v>12376</v>
      </c>
      <c r="O57" s="7"/>
      <c r="P57" s="7"/>
      <c r="Q57" s="7"/>
      <c r="R57" s="7"/>
      <c r="S57" s="7"/>
    </row>
    <row r="58" spans="13:26">
      <c r="M58" s="7">
        <v>56</v>
      </c>
      <c r="N58" s="7">
        <v>12376</v>
      </c>
      <c r="O58" s="7"/>
      <c r="P58" s="7"/>
      <c r="Q58" s="7"/>
      <c r="R58" s="7"/>
      <c r="S58" s="7"/>
    </row>
    <row r="59" spans="13:26">
      <c r="M59" s="7">
        <v>57</v>
      </c>
      <c r="N59" s="7">
        <v>12818</v>
      </c>
      <c r="O59" s="7"/>
      <c r="P59" s="7"/>
      <c r="Q59" s="7"/>
      <c r="R59" s="7"/>
      <c r="S59" s="7"/>
    </row>
    <row r="60" spans="13:26">
      <c r="M60" s="7">
        <v>58</v>
      </c>
      <c r="N60" s="7">
        <v>12818</v>
      </c>
      <c r="O60" s="7"/>
      <c r="P60" s="7"/>
      <c r="Q60" s="7"/>
      <c r="R60" s="7"/>
      <c r="S60" s="7"/>
    </row>
    <row r="61" spans="13:26">
      <c r="M61" s="7">
        <v>59</v>
      </c>
      <c r="N61" s="7">
        <v>13260</v>
      </c>
      <c r="O61" s="7"/>
      <c r="P61" s="7"/>
      <c r="Q61" s="7"/>
      <c r="R61" s="7"/>
      <c r="S61" s="7"/>
    </row>
    <row r="62" spans="13:26">
      <c r="M62" s="7">
        <v>60</v>
      </c>
      <c r="N62" s="7">
        <v>13260</v>
      </c>
      <c r="O62" s="7"/>
      <c r="P62" s="7"/>
      <c r="Q62" s="7"/>
      <c r="R62" s="7"/>
      <c r="S62" s="7"/>
    </row>
    <row r="63" spans="13:26">
      <c r="M63" s="7">
        <v>61</v>
      </c>
      <c r="N63" s="7">
        <v>13702</v>
      </c>
      <c r="O63" s="7"/>
      <c r="P63" s="7"/>
      <c r="Q63" s="7"/>
      <c r="R63" s="7"/>
      <c r="S63" s="7"/>
    </row>
    <row r="64" spans="13:26">
      <c r="M64" s="7">
        <v>62</v>
      </c>
      <c r="N64" s="7">
        <v>13702</v>
      </c>
      <c r="O64" s="7"/>
      <c r="P64" s="7"/>
      <c r="Q64" s="7"/>
      <c r="R64" s="7"/>
      <c r="S64" s="7"/>
    </row>
    <row r="65" spans="13:19">
      <c r="M65" s="7">
        <v>63</v>
      </c>
      <c r="N65" s="7">
        <v>14144</v>
      </c>
      <c r="O65" s="7"/>
      <c r="P65" s="7"/>
      <c r="Q65" s="7"/>
      <c r="R65" s="7"/>
      <c r="S65" s="7"/>
    </row>
    <row r="66" spans="13:19">
      <c r="M66" s="7">
        <v>64</v>
      </c>
      <c r="N66" s="7">
        <v>14144</v>
      </c>
      <c r="O66" s="7"/>
      <c r="P66" s="7"/>
      <c r="Q66" s="7"/>
      <c r="R66" s="7"/>
      <c r="S66" s="7"/>
    </row>
    <row r="67" spans="13:19">
      <c r="M67" s="7">
        <v>65</v>
      </c>
      <c r="N67" s="7">
        <v>14586</v>
      </c>
      <c r="O67" s="7"/>
      <c r="P67" s="7"/>
      <c r="Q67" s="7"/>
      <c r="R67" s="7"/>
      <c r="S67" s="7"/>
    </row>
    <row r="68" spans="13:19">
      <c r="M68" s="7">
        <v>66</v>
      </c>
      <c r="N68" s="7">
        <v>14586</v>
      </c>
      <c r="O68" s="7"/>
      <c r="P68" s="7"/>
      <c r="Q68" s="7"/>
      <c r="R68" s="7"/>
      <c r="S68" s="7"/>
    </row>
    <row r="69" spans="13:19">
      <c r="M69" s="7">
        <v>67</v>
      </c>
      <c r="N69" s="7">
        <v>15028</v>
      </c>
      <c r="O69" s="7"/>
      <c r="P69" s="7"/>
      <c r="Q69" s="7"/>
      <c r="R69" s="7"/>
      <c r="S69" s="7"/>
    </row>
    <row r="70" spans="13:19">
      <c r="M70" s="7">
        <v>68</v>
      </c>
      <c r="N70" s="7">
        <v>15028</v>
      </c>
      <c r="O70" s="7"/>
      <c r="P70" s="7"/>
      <c r="Q70" s="7"/>
      <c r="R70" s="7"/>
      <c r="S70" s="7"/>
    </row>
    <row r="71" spans="13:19">
      <c r="M71" s="7">
        <v>69</v>
      </c>
      <c r="N71" s="7">
        <v>15470</v>
      </c>
      <c r="O71" s="7"/>
      <c r="P71" s="7"/>
      <c r="Q71" s="7"/>
      <c r="R71" s="7"/>
      <c r="S71" s="7"/>
    </row>
    <row r="72" spans="13:19">
      <c r="M72" s="7">
        <v>70</v>
      </c>
      <c r="N72" s="7">
        <v>15470</v>
      </c>
      <c r="O72" s="7"/>
      <c r="P72" s="7"/>
      <c r="Q72" s="7"/>
      <c r="R72" s="7"/>
      <c r="S72" s="7"/>
    </row>
    <row r="73" spans="13:19">
      <c r="M73" s="7">
        <v>71</v>
      </c>
      <c r="N73" s="7">
        <v>15912</v>
      </c>
      <c r="O73" s="7"/>
      <c r="P73" s="7"/>
      <c r="Q73" s="7"/>
      <c r="R73" s="7"/>
      <c r="S73" s="7"/>
    </row>
    <row r="74" spans="13:19">
      <c r="M74" s="7">
        <v>72</v>
      </c>
      <c r="N74" s="7">
        <v>15912</v>
      </c>
      <c r="O74" s="7"/>
      <c r="P74" s="7"/>
      <c r="Q74" s="7"/>
      <c r="R74" s="7"/>
      <c r="S74" s="7"/>
    </row>
    <row r="75" spans="13:19">
      <c r="M75" s="7">
        <v>73</v>
      </c>
      <c r="N75" s="7">
        <v>16354</v>
      </c>
      <c r="O75" s="7"/>
      <c r="P75" s="7"/>
      <c r="Q75" s="7"/>
      <c r="R75" s="7"/>
      <c r="S75" s="7"/>
    </row>
    <row r="76" spans="13:19">
      <c r="M76" s="7">
        <v>74</v>
      </c>
      <c r="N76" s="7">
        <v>16354</v>
      </c>
      <c r="O76" s="7"/>
      <c r="P76" s="7"/>
      <c r="Q76" s="7"/>
      <c r="R76" s="7"/>
      <c r="S76" s="7"/>
    </row>
    <row r="77" spans="13:19">
      <c r="M77" s="7">
        <v>75</v>
      </c>
      <c r="N77" s="7">
        <v>16796</v>
      </c>
      <c r="O77" s="7"/>
      <c r="P77" s="7"/>
      <c r="Q77" s="7"/>
      <c r="R77" s="7"/>
      <c r="S77" s="7"/>
    </row>
    <row r="78" spans="13:19">
      <c r="M78" s="7">
        <v>76</v>
      </c>
      <c r="N78" s="7">
        <v>16796</v>
      </c>
      <c r="O78" s="7"/>
      <c r="P78" s="7"/>
      <c r="Q78" s="7"/>
      <c r="R78" s="7"/>
      <c r="S78" s="7"/>
    </row>
    <row r="79" spans="13:19">
      <c r="M79" s="7">
        <v>77</v>
      </c>
      <c r="N79" s="7">
        <v>17238</v>
      </c>
      <c r="O79" s="7"/>
      <c r="P79" s="7"/>
      <c r="Q79" s="7"/>
      <c r="R79" s="7"/>
      <c r="S79" s="7"/>
    </row>
    <row r="80" spans="13:19">
      <c r="M80" s="7">
        <v>78</v>
      </c>
      <c r="N80" s="7">
        <v>17238</v>
      </c>
      <c r="O80" s="7"/>
      <c r="P80" s="7"/>
      <c r="Q80" s="7"/>
      <c r="R80" s="7"/>
      <c r="S80" s="7"/>
    </row>
    <row r="81" spans="13:19">
      <c r="M81" s="7">
        <v>79</v>
      </c>
      <c r="N81" s="7">
        <v>17680</v>
      </c>
      <c r="O81" s="7"/>
      <c r="P81" s="7"/>
      <c r="Q81" s="7"/>
      <c r="R81" s="7"/>
      <c r="S81" s="7"/>
    </row>
    <row r="82" spans="13:19">
      <c r="M82" s="7">
        <v>80</v>
      </c>
      <c r="N82" s="7">
        <v>17680</v>
      </c>
      <c r="O82" s="7"/>
      <c r="P82" s="7"/>
      <c r="Q82" s="7"/>
      <c r="R82" s="7"/>
      <c r="S82" s="7"/>
    </row>
    <row r="83" spans="13:19">
      <c r="M83" s="7">
        <v>81</v>
      </c>
      <c r="N83" s="7">
        <v>18122</v>
      </c>
      <c r="O83" s="7"/>
      <c r="P83" s="7"/>
      <c r="Q83" s="7"/>
      <c r="R83" s="7"/>
      <c r="S83" s="7"/>
    </row>
    <row r="84" spans="13:19">
      <c r="M84" s="7">
        <v>82</v>
      </c>
      <c r="N84" s="7">
        <v>18122</v>
      </c>
      <c r="O84" s="7"/>
      <c r="P84" s="7"/>
      <c r="Q84" s="7"/>
      <c r="R84" s="7"/>
      <c r="S84" s="7"/>
    </row>
    <row r="85" spans="13:19">
      <c r="M85" s="7">
        <v>83</v>
      </c>
      <c r="N85" s="7">
        <v>18564</v>
      </c>
      <c r="O85" s="7"/>
      <c r="P85" s="7"/>
      <c r="Q85" s="7"/>
      <c r="R85" s="7"/>
      <c r="S85" s="7"/>
    </row>
    <row r="86" spans="13:19">
      <c r="M86" s="7">
        <v>84</v>
      </c>
      <c r="N86" s="7">
        <v>18564</v>
      </c>
      <c r="O86" s="7"/>
      <c r="P86" s="7"/>
      <c r="Q86" s="7"/>
      <c r="R86" s="7"/>
      <c r="S86" s="7"/>
    </row>
    <row r="87" spans="13:19">
      <c r="M87" s="7">
        <v>85</v>
      </c>
      <c r="N87" s="7">
        <v>19006</v>
      </c>
      <c r="O87" s="7"/>
      <c r="P87" s="7"/>
      <c r="Q87" s="7"/>
      <c r="R87" s="7"/>
      <c r="S87" s="7"/>
    </row>
    <row r="88" spans="13:19">
      <c r="M88" s="7">
        <v>86</v>
      </c>
      <c r="N88" s="7">
        <v>19006</v>
      </c>
      <c r="O88" s="7"/>
      <c r="P88" s="7"/>
      <c r="Q88" s="7"/>
      <c r="R88" s="7"/>
      <c r="S88" s="7"/>
    </row>
    <row r="89" spans="13:19">
      <c r="M89" s="7">
        <v>87</v>
      </c>
      <c r="N89" s="7">
        <v>19448</v>
      </c>
      <c r="O89" s="7"/>
      <c r="P89" s="7"/>
      <c r="Q89" s="7"/>
      <c r="R89" s="7"/>
      <c r="S89" s="7"/>
    </row>
    <row r="90" spans="13:19">
      <c r="M90" s="7">
        <v>88</v>
      </c>
      <c r="N90" s="7">
        <v>19448</v>
      </c>
      <c r="O90" s="7"/>
      <c r="P90" s="7"/>
      <c r="Q90" s="7"/>
      <c r="R90" s="7"/>
      <c r="S90" s="7"/>
    </row>
    <row r="91" spans="13:19">
      <c r="M91" s="7">
        <v>89</v>
      </c>
      <c r="N91" s="7">
        <v>19890</v>
      </c>
      <c r="O91" s="7"/>
      <c r="P91" s="7"/>
      <c r="Q91" s="7"/>
      <c r="R91" s="7"/>
      <c r="S91" s="7"/>
    </row>
    <row r="92" spans="13:19">
      <c r="M92" s="7">
        <v>90</v>
      </c>
      <c r="N92" s="7">
        <v>19890</v>
      </c>
      <c r="O92" s="7"/>
      <c r="P92" s="7"/>
      <c r="Q92" s="7"/>
      <c r="R92" s="7"/>
      <c r="S92" s="7"/>
    </row>
    <row r="93" spans="13:19">
      <c r="M93" s="7">
        <v>91</v>
      </c>
      <c r="N93" s="7">
        <v>20332</v>
      </c>
      <c r="O93" s="7"/>
      <c r="P93" s="7"/>
      <c r="Q93" s="7"/>
      <c r="R93" s="7"/>
      <c r="S93" s="7"/>
    </row>
    <row r="94" spans="13:19">
      <c r="M94" s="7">
        <v>92</v>
      </c>
      <c r="N94" s="7">
        <v>20332</v>
      </c>
      <c r="O94" s="7"/>
      <c r="P94" s="7"/>
      <c r="Q94" s="7"/>
      <c r="R94" s="7"/>
      <c r="S94" s="7"/>
    </row>
    <row r="95" spans="13:19">
      <c r="M95" s="7">
        <v>93</v>
      </c>
      <c r="N95" s="7">
        <v>20774</v>
      </c>
      <c r="O95" s="7"/>
      <c r="P95" s="7"/>
      <c r="Q95" s="7"/>
      <c r="R95" s="7"/>
      <c r="S95" s="7"/>
    </row>
    <row r="96" spans="13:19">
      <c r="M96" s="7">
        <v>94</v>
      </c>
      <c r="N96" s="7">
        <v>20774</v>
      </c>
      <c r="O96" s="7"/>
      <c r="P96" s="7"/>
      <c r="Q96" s="7"/>
      <c r="R96" s="7"/>
      <c r="S96" s="7"/>
    </row>
    <row r="97" spans="13:19">
      <c r="M97" s="7">
        <v>95</v>
      </c>
      <c r="N97" s="7">
        <v>21216</v>
      </c>
      <c r="O97" s="7"/>
      <c r="P97" s="7"/>
      <c r="Q97" s="7"/>
      <c r="R97" s="7"/>
      <c r="S97" s="7"/>
    </row>
    <row r="98" spans="13:19">
      <c r="M98" s="7">
        <v>96</v>
      </c>
      <c r="N98" s="7">
        <v>21216</v>
      </c>
      <c r="O98" s="7"/>
      <c r="P98" s="7"/>
      <c r="Q98" s="7"/>
      <c r="R98" s="7"/>
      <c r="S98" s="7"/>
    </row>
    <row r="99" spans="13:19">
      <c r="M99" s="7">
        <v>97</v>
      </c>
      <c r="N99" s="7">
        <v>21658</v>
      </c>
      <c r="O99" s="7"/>
      <c r="P99" s="7"/>
      <c r="Q99" s="7"/>
      <c r="R99" s="7"/>
      <c r="S99" s="7"/>
    </row>
    <row r="100" spans="13:19">
      <c r="M100" s="7">
        <v>98</v>
      </c>
      <c r="N100" s="7">
        <v>21658</v>
      </c>
      <c r="O100" s="7"/>
      <c r="P100" s="7"/>
      <c r="Q100" s="7"/>
      <c r="R100" s="7"/>
      <c r="S100" s="7"/>
    </row>
    <row r="101" spans="13:19">
      <c r="M101" s="7">
        <v>99</v>
      </c>
      <c r="N101" s="7">
        <v>22100</v>
      </c>
      <c r="O101" s="7"/>
      <c r="P101" s="7"/>
      <c r="Q101" s="7"/>
      <c r="R101" s="7"/>
      <c r="S101" s="7"/>
    </row>
    <row r="102" spans="13:19">
      <c r="M102" s="7">
        <v>100</v>
      </c>
      <c r="N102" s="7">
        <v>22100</v>
      </c>
      <c r="O102" s="7"/>
      <c r="P102" s="7"/>
      <c r="Q102" s="7"/>
      <c r="R102" s="7"/>
      <c r="S102" s="7"/>
    </row>
    <row r="103" spans="13:19">
      <c r="M103" s="7">
        <v>101</v>
      </c>
      <c r="N103" s="7">
        <v>22542</v>
      </c>
      <c r="O103" s="7"/>
      <c r="P103" s="7"/>
      <c r="Q103" s="7"/>
      <c r="R103" s="7"/>
      <c r="S103" s="7"/>
    </row>
    <row r="104" spans="13:19">
      <c r="M104" s="7">
        <v>102</v>
      </c>
      <c r="N104" s="7">
        <v>22542</v>
      </c>
      <c r="O104" s="7"/>
      <c r="P104" s="7"/>
      <c r="Q104" s="7"/>
      <c r="R104" s="7"/>
      <c r="S104" s="7"/>
    </row>
    <row r="105" spans="13:19">
      <c r="M105" s="7">
        <v>103</v>
      </c>
      <c r="N105" s="7">
        <v>22984</v>
      </c>
      <c r="O105" s="7"/>
      <c r="P105" s="7"/>
      <c r="Q105" s="7"/>
      <c r="R105" s="7"/>
      <c r="S105" s="7"/>
    </row>
    <row r="106" spans="13:19">
      <c r="M106" s="7">
        <v>104</v>
      </c>
      <c r="N106" s="7">
        <v>22984</v>
      </c>
      <c r="O106" s="7"/>
      <c r="P106" s="7"/>
      <c r="Q106" s="7"/>
      <c r="R106" s="7"/>
      <c r="S106" s="7"/>
    </row>
    <row r="107" spans="13:19">
      <c r="M107" s="7">
        <v>105</v>
      </c>
      <c r="N107" s="7">
        <v>22426</v>
      </c>
      <c r="O107" s="7"/>
      <c r="P107" s="7"/>
      <c r="Q107" s="7"/>
      <c r="R107" s="7"/>
      <c r="S107" s="7"/>
    </row>
    <row r="108" spans="13:19">
      <c r="M108" s="7">
        <v>106</v>
      </c>
      <c r="N108" s="7">
        <v>22426</v>
      </c>
      <c r="O108" s="7"/>
      <c r="P108" s="7"/>
      <c r="Q108" s="7"/>
      <c r="R108" s="7"/>
      <c r="S108" s="7"/>
    </row>
    <row r="109" spans="13:19">
      <c r="M109" s="7">
        <v>107</v>
      </c>
      <c r="N109" s="7">
        <v>23868</v>
      </c>
      <c r="O109" s="7"/>
      <c r="P109" s="7"/>
      <c r="Q109" s="7"/>
      <c r="R109" s="7"/>
      <c r="S109" s="7"/>
    </row>
    <row r="110" spans="13:19">
      <c r="M110" s="7">
        <v>108</v>
      </c>
      <c r="N110" s="7">
        <v>23868</v>
      </c>
      <c r="O110" s="7"/>
      <c r="P110" s="7"/>
      <c r="Q110" s="7"/>
      <c r="R110" s="7"/>
      <c r="S110" s="7"/>
    </row>
    <row r="111" spans="13:19">
      <c r="M111" s="7">
        <v>109</v>
      </c>
      <c r="N111" s="7">
        <v>24310</v>
      </c>
      <c r="O111" s="7"/>
      <c r="P111" s="7"/>
      <c r="Q111" s="7"/>
      <c r="R111" s="7"/>
      <c r="S111" s="7"/>
    </row>
    <row r="112" spans="13:19">
      <c r="M112" s="7">
        <v>110</v>
      </c>
      <c r="N112" s="7">
        <v>24310</v>
      </c>
      <c r="O112" s="7"/>
      <c r="P112" s="7"/>
      <c r="Q112" s="7"/>
      <c r="R112" s="7"/>
      <c r="S112" s="7"/>
    </row>
    <row r="113" spans="13:19">
      <c r="M113" s="7">
        <v>111</v>
      </c>
      <c r="N113" s="7">
        <v>24752</v>
      </c>
      <c r="O113" s="7"/>
      <c r="P113" s="7"/>
      <c r="Q113" s="7"/>
      <c r="R113" s="7"/>
      <c r="S113" s="7"/>
    </row>
    <row r="114" spans="13:19">
      <c r="M114" s="7">
        <v>112</v>
      </c>
      <c r="N114" s="7">
        <f>N113+221</f>
        <v>24973</v>
      </c>
      <c r="O114" s="7"/>
      <c r="P114" s="7"/>
      <c r="Q114" s="7"/>
      <c r="R114" s="7"/>
      <c r="S114" s="7"/>
    </row>
    <row r="115" spans="13:19">
      <c r="M115" s="7">
        <v>113</v>
      </c>
      <c r="N115" s="7">
        <f t="shared" ref="N115:N168" si="0">N114+221</f>
        <v>25194</v>
      </c>
      <c r="O115" s="7"/>
      <c r="P115" s="7"/>
      <c r="Q115" s="7"/>
      <c r="R115" s="7"/>
      <c r="S115" s="7"/>
    </row>
    <row r="116" spans="13:19">
      <c r="M116" s="7">
        <v>114</v>
      </c>
      <c r="N116" s="7">
        <f t="shared" si="0"/>
        <v>25415</v>
      </c>
      <c r="O116" s="7"/>
      <c r="P116" s="7"/>
      <c r="Q116" s="7"/>
      <c r="R116" s="7"/>
      <c r="S116" s="7"/>
    </row>
    <row r="117" spans="13:19">
      <c r="M117" s="7">
        <v>115</v>
      </c>
      <c r="N117" s="7">
        <f t="shared" si="0"/>
        <v>25636</v>
      </c>
      <c r="O117" s="7"/>
      <c r="P117" s="7"/>
      <c r="Q117" s="7"/>
      <c r="R117" s="7"/>
      <c r="S117" s="7"/>
    </row>
    <row r="118" spans="13:19">
      <c r="M118" s="7">
        <v>116</v>
      </c>
      <c r="N118" s="7">
        <f t="shared" si="0"/>
        <v>25857</v>
      </c>
      <c r="O118" s="7"/>
      <c r="P118" s="7"/>
      <c r="Q118" s="7"/>
      <c r="R118" s="7"/>
      <c r="S118" s="7"/>
    </row>
    <row r="119" spans="13:19">
      <c r="M119" s="7">
        <v>117</v>
      </c>
      <c r="N119" s="7">
        <f t="shared" si="0"/>
        <v>26078</v>
      </c>
      <c r="O119" s="7"/>
      <c r="P119" s="7"/>
      <c r="Q119" s="7"/>
      <c r="R119" s="7"/>
      <c r="S119" s="7"/>
    </row>
    <row r="120" spans="13:19">
      <c r="M120" s="7">
        <v>118</v>
      </c>
      <c r="N120" s="7">
        <f t="shared" si="0"/>
        <v>26299</v>
      </c>
      <c r="O120" s="7"/>
      <c r="P120" s="7"/>
      <c r="Q120" s="7"/>
      <c r="R120" s="7"/>
      <c r="S120" s="7"/>
    </row>
    <row r="121" spans="13:19">
      <c r="M121" s="7">
        <v>119</v>
      </c>
      <c r="N121" s="7">
        <f t="shared" si="0"/>
        <v>26520</v>
      </c>
      <c r="O121" s="7"/>
      <c r="P121" s="7"/>
      <c r="Q121" s="7"/>
      <c r="R121" s="7"/>
      <c r="S121" s="7"/>
    </row>
    <row r="122" spans="13:19">
      <c r="M122" s="7">
        <v>120</v>
      </c>
      <c r="N122" s="7">
        <f t="shared" si="0"/>
        <v>26741</v>
      </c>
      <c r="O122" s="7"/>
    </row>
    <row r="123" spans="13:19">
      <c r="M123" s="7">
        <v>121</v>
      </c>
      <c r="N123" s="7">
        <f t="shared" si="0"/>
        <v>26962</v>
      </c>
      <c r="O123" s="7"/>
    </row>
    <row r="124" spans="13:19">
      <c r="M124" s="7">
        <v>122</v>
      </c>
      <c r="N124" s="7">
        <f t="shared" si="0"/>
        <v>27183</v>
      </c>
      <c r="O124" s="7"/>
    </row>
    <row r="125" spans="13:19">
      <c r="M125" s="7">
        <v>123</v>
      </c>
      <c r="N125" s="7">
        <f t="shared" si="0"/>
        <v>27404</v>
      </c>
      <c r="O125" s="7"/>
    </row>
    <row r="126" spans="13:19">
      <c r="M126" s="7">
        <v>124</v>
      </c>
      <c r="N126" s="7">
        <f t="shared" si="0"/>
        <v>27625</v>
      </c>
      <c r="O126" s="7"/>
    </row>
    <row r="127" spans="13:19">
      <c r="M127" s="7">
        <v>125</v>
      </c>
      <c r="N127" s="7">
        <f t="shared" si="0"/>
        <v>27846</v>
      </c>
      <c r="O127" s="7"/>
    </row>
    <row r="128" spans="13:19">
      <c r="M128" s="7">
        <v>126</v>
      </c>
      <c r="N128" s="7">
        <f t="shared" si="0"/>
        <v>28067</v>
      </c>
      <c r="O128" s="7"/>
    </row>
    <row r="129" spans="13:15">
      <c r="M129" s="7">
        <v>127</v>
      </c>
      <c r="N129" s="7">
        <f t="shared" si="0"/>
        <v>28288</v>
      </c>
      <c r="O129" s="7"/>
    </row>
    <row r="130" spans="13:15">
      <c r="M130" s="7">
        <v>128</v>
      </c>
      <c r="N130" s="7">
        <f t="shared" si="0"/>
        <v>28509</v>
      </c>
      <c r="O130" s="7"/>
    </row>
    <row r="131" spans="13:15">
      <c r="M131" s="7">
        <v>129</v>
      </c>
      <c r="N131" s="7">
        <f t="shared" si="0"/>
        <v>28730</v>
      </c>
      <c r="O131" s="7"/>
    </row>
    <row r="132" spans="13:15">
      <c r="M132" s="7">
        <v>130</v>
      </c>
      <c r="N132" s="7">
        <f t="shared" si="0"/>
        <v>28951</v>
      </c>
      <c r="O132" s="7"/>
    </row>
    <row r="133" spans="13:15">
      <c r="M133" s="7">
        <v>131</v>
      </c>
      <c r="N133" s="7">
        <f t="shared" si="0"/>
        <v>29172</v>
      </c>
      <c r="O133" s="7"/>
    </row>
    <row r="134" spans="13:15">
      <c r="M134" s="7">
        <v>132</v>
      </c>
      <c r="N134" s="7">
        <f t="shared" si="0"/>
        <v>29393</v>
      </c>
      <c r="O134" s="7"/>
    </row>
    <row r="135" spans="13:15">
      <c r="M135" s="7">
        <v>133</v>
      </c>
      <c r="N135" s="7">
        <f t="shared" si="0"/>
        <v>29614</v>
      </c>
      <c r="O135" s="7"/>
    </row>
    <row r="136" spans="13:15">
      <c r="M136" s="7">
        <v>134</v>
      </c>
      <c r="N136" s="7">
        <f t="shared" si="0"/>
        <v>29835</v>
      </c>
      <c r="O136" s="7"/>
    </row>
    <row r="137" spans="13:15">
      <c r="M137" s="7">
        <v>135</v>
      </c>
      <c r="N137" s="7">
        <f t="shared" si="0"/>
        <v>30056</v>
      </c>
      <c r="O137" s="7"/>
    </row>
    <row r="138" spans="13:15">
      <c r="M138" s="7">
        <v>136</v>
      </c>
      <c r="N138" s="7">
        <f t="shared" si="0"/>
        <v>30277</v>
      </c>
      <c r="O138" s="7"/>
    </row>
    <row r="139" spans="13:15">
      <c r="M139" s="7">
        <v>137</v>
      </c>
      <c r="N139" s="7">
        <f t="shared" si="0"/>
        <v>30498</v>
      </c>
      <c r="O139" s="7"/>
    </row>
    <row r="140" spans="13:15">
      <c r="M140" s="7">
        <v>138</v>
      </c>
      <c r="N140" s="7">
        <f t="shared" si="0"/>
        <v>30719</v>
      </c>
      <c r="O140" s="7"/>
    </row>
    <row r="141" spans="13:15">
      <c r="M141" s="7">
        <v>139</v>
      </c>
      <c r="N141" s="7">
        <f t="shared" si="0"/>
        <v>30940</v>
      </c>
      <c r="O141" s="7"/>
    </row>
    <row r="142" spans="13:15">
      <c r="M142" s="7">
        <v>140</v>
      </c>
      <c r="N142" s="7">
        <f t="shared" si="0"/>
        <v>31161</v>
      </c>
      <c r="O142" s="7"/>
    </row>
    <row r="143" spans="13:15">
      <c r="M143" s="7">
        <v>141</v>
      </c>
      <c r="N143" s="7">
        <f t="shared" si="0"/>
        <v>31382</v>
      </c>
      <c r="O143" s="7"/>
    </row>
    <row r="144" spans="13:15">
      <c r="M144" s="7">
        <v>142</v>
      </c>
      <c r="N144" s="7">
        <f t="shared" si="0"/>
        <v>31603</v>
      </c>
      <c r="O144" s="7"/>
    </row>
    <row r="145" spans="13:15">
      <c r="M145" s="7">
        <v>143</v>
      </c>
      <c r="N145" s="7">
        <f t="shared" si="0"/>
        <v>31824</v>
      </c>
      <c r="O145" s="7"/>
    </row>
    <row r="146" spans="13:15">
      <c r="M146" s="7">
        <v>144</v>
      </c>
      <c r="N146" s="7">
        <f t="shared" si="0"/>
        <v>32045</v>
      </c>
      <c r="O146" s="7"/>
    </row>
    <row r="147" spans="13:15">
      <c r="M147" s="7">
        <v>145</v>
      </c>
      <c r="N147" s="7">
        <f t="shared" si="0"/>
        <v>32266</v>
      </c>
      <c r="O147" s="7"/>
    </row>
    <row r="148" spans="13:15">
      <c r="M148" s="7">
        <v>146</v>
      </c>
      <c r="N148" s="7">
        <f t="shared" si="0"/>
        <v>32487</v>
      </c>
      <c r="O148" s="7"/>
    </row>
    <row r="149" spans="13:15">
      <c r="M149" s="7">
        <v>147</v>
      </c>
      <c r="N149" s="7">
        <f t="shared" si="0"/>
        <v>32708</v>
      </c>
      <c r="O149" s="7"/>
    </row>
    <row r="150" spans="13:15">
      <c r="M150" s="7">
        <v>148</v>
      </c>
      <c r="N150" s="7">
        <f t="shared" si="0"/>
        <v>32929</v>
      </c>
      <c r="O150" s="7"/>
    </row>
    <row r="151" spans="13:15">
      <c r="M151" s="7">
        <v>149</v>
      </c>
      <c r="N151" s="7">
        <f t="shared" si="0"/>
        <v>33150</v>
      </c>
      <c r="O151" s="7"/>
    </row>
    <row r="152" spans="13:15">
      <c r="M152" s="7">
        <v>150</v>
      </c>
      <c r="N152" s="7">
        <f t="shared" si="0"/>
        <v>33371</v>
      </c>
      <c r="O152" s="7"/>
    </row>
    <row r="153" spans="13:15">
      <c r="M153" s="7">
        <v>151</v>
      </c>
      <c r="N153" s="7">
        <f t="shared" si="0"/>
        <v>33592</v>
      </c>
      <c r="O153" s="7"/>
    </row>
    <row r="154" spans="13:15">
      <c r="M154" s="7">
        <v>152</v>
      </c>
      <c r="N154" s="7">
        <f t="shared" si="0"/>
        <v>33813</v>
      </c>
      <c r="O154" s="7"/>
    </row>
    <row r="155" spans="13:15">
      <c r="M155" s="7">
        <v>153</v>
      </c>
      <c r="N155" s="7">
        <f t="shared" si="0"/>
        <v>34034</v>
      </c>
      <c r="O155" s="7"/>
    </row>
    <row r="156" spans="13:15">
      <c r="M156" s="7">
        <v>154</v>
      </c>
      <c r="N156" s="7">
        <f t="shared" si="0"/>
        <v>34255</v>
      </c>
      <c r="O156" s="7"/>
    </row>
    <row r="157" spans="13:15">
      <c r="M157" s="7">
        <v>155</v>
      </c>
      <c r="N157" s="7">
        <f t="shared" si="0"/>
        <v>34476</v>
      </c>
      <c r="O157" s="7"/>
    </row>
    <row r="158" spans="13:15">
      <c r="M158" s="7">
        <v>156</v>
      </c>
      <c r="N158" s="7">
        <f t="shared" si="0"/>
        <v>34697</v>
      </c>
      <c r="O158" s="7"/>
    </row>
    <row r="159" spans="13:15">
      <c r="M159" s="7">
        <v>157</v>
      </c>
      <c r="N159" s="7">
        <f t="shared" si="0"/>
        <v>34918</v>
      </c>
      <c r="O159" s="7"/>
    </row>
    <row r="160" spans="13:15">
      <c r="M160" s="7">
        <v>158</v>
      </c>
      <c r="N160" s="7">
        <f t="shared" si="0"/>
        <v>35139</v>
      </c>
      <c r="O160" s="7"/>
    </row>
    <row r="161" spans="13:15">
      <c r="M161" s="7">
        <v>159</v>
      </c>
      <c r="N161" s="7">
        <f t="shared" si="0"/>
        <v>35360</v>
      </c>
      <c r="O161" s="7"/>
    </row>
    <row r="162" spans="13:15">
      <c r="M162" s="7">
        <v>160</v>
      </c>
      <c r="N162" s="7">
        <f t="shared" si="0"/>
        <v>35581</v>
      </c>
      <c r="O162" s="7"/>
    </row>
    <row r="163" spans="13:15">
      <c r="M163" s="7">
        <v>161</v>
      </c>
      <c r="N163" s="7">
        <f t="shared" si="0"/>
        <v>35802</v>
      </c>
      <c r="O163" s="7"/>
    </row>
    <row r="164" spans="13:15">
      <c r="M164" s="7">
        <v>162</v>
      </c>
      <c r="N164" s="7">
        <f t="shared" si="0"/>
        <v>36023</v>
      </c>
      <c r="O164" s="7"/>
    </row>
    <row r="165" spans="13:15">
      <c r="M165" s="7">
        <v>163</v>
      </c>
      <c r="N165" s="7">
        <f t="shared" si="0"/>
        <v>36244</v>
      </c>
      <c r="O165" s="7"/>
    </row>
    <row r="166" spans="13:15">
      <c r="M166" s="7">
        <v>164</v>
      </c>
      <c r="N166" s="7">
        <f t="shared" si="0"/>
        <v>36465</v>
      </c>
      <c r="O166" s="7"/>
    </row>
    <row r="167" spans="13:15">
      <c r="M167" s="7">
        <v>165</v>
      </c>
      <c r="N167" s="7">
        <f t="shared" si="0"/>
        <v>36686</v>
      </c>
      <c r="O167" s="7"/>
    </row>
    <row r="168" spans="13:15">
      <c r="M168" s="7">
        <v>166</v>
      </c>
      <c r="N168" s="7">
        <f t="shared" si="0"/>
        <v>36907</v>
      </c>
      <c r="O168" s="7"/>
    </row>
    <row r="169" spans="13:15">
      <c r="M169" s="7"/>
      <c r="N169" s="7"/>
    </row>
    <row r="170" spans="13:15">
      <c r="M170" s="7"/>
      <c r="N170" s="7"/>
    </row>
    <row r="171" spans="13:15">
      <c r="M171" s="7"/>
      <c r="N171" s="7"/>
    </row>
  </sheetData>
  <sheetProtection algorithmName="SHA-512" hashValue="UKo/XMXmTVAdHGkOwnP4R4oxjhhN/987NCvsCs2J9lnUPYcXKTe76oa1LpSkHcwQ0ZL0IYKxIV60d+bAAPH6Kw==" saltValue="LQ/xOtf5beKz+EsiLBi8UA==" spinCount="100000" sheet="1" objects="1" scenarios="1"/>
  <mergeCells count="15">
    <mergeCell ref="AT1:AV1"/>
    <mergeCell ref="AR1:AS1"/>
    <mergeCell ref="AL9:AN9"/>
    <mergeCell ref="B1:C1"/>
    <mergeCell ref="AI1:AK1"/>
    <mergeCell ref="AL1:AN1"/>
    <mergeCell ref="AO1:AP1"/>
    <mergeCell ref="AI6:AJ6"/>
    <mergeCell ref="O1:S1"/>
    <mergeCell ref="F1:H1"/>
    <mergeCell ref="I1:J1"/>
    <mergeCell ref="T1:X1"/>
    <mergeCell ref="Z1:AB1"/>
    <mergeCell ref="AC1:AE1"/>
    <mergeCell ref="AF1:AH1"/>
  </mergeCells>
  <conditionalFormatting sqref="A1:AW170">
    <cfRule type="expression" dxfId="6" priority="1">
      <formula>$Z$50&lt;&gt;-1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DC3EF-ECA0-48FC-B0B0-D78AF67881FA}">
  <sheetPr codeName="Arkusz5"/>
  <dimension ref="A1:Z96"/>
  <sheetViews>
    <sheetView zoomScale="70" zoomScaleNormal="70" workbookViewId="0">
      <selection activeCell="A31" sqref="A31"/>
    </sheetView>
  </sheetViews>
  <sheetFormatPr defaultColWidth="8.88671875" defaultRowHeight="14.4"/>
  <cols>
    <col min="1" max="1" width="31" customWidth="1"/>
    <col min="2" max="2" width="48.5546875" style="13" customWidth="1"/>
    <col min="3" max="3" width="15.6640625" style="13" customWidth="1"/>
    <col min="4" max="4" width="23.77734375" customWidth="1"/>
    <col min="5" max="5" width="23" customWidth="1"/>
    <col min="6" max="6" width="11.6640625" customWidth="1"/>
    <col min="7" max="7" width="11.33203125" customWidth="1"/>
    <col min="8" max="8" width="10.33203125" customWidth="1"/>
    <col min="9" max="9" width="12.6640625" bestFit="1" customWidth="1"/>
    <col min="10" max="10" width="11.5546875" bestFit="1" customWidth="1"/>
    <col min="16384" max="16384" width="0.109375" customWidth="1"/>
  </cols>
  <sheetData>
    <row r="1" spans="1:18">
      <c r="B1" s="13" t="s">
        <v>71</v>
      </c>
      <c r="C1" s="13" t="s">
        <v>72</v>
      </c>
      <c r="D1" s="56">
        <f>IF(B2=Baza!A8,3,IF(AND(B2=Baza!A9,OR(Kalkulator!D20=Baza!O35,Kalkulator!D20=Baza!O36,Kalkulator!D20=Baza!O37,Kalkulator!D20=Baza!O38,Kalkulator!D20=Baza!O39,Kalkulator!D20=Baza!O40,Kalkulator!D20=Baza!O41)),VLOOKUP(Kalkulator!D20,Baza!O34:S41,3,FALSE),Kalkulator!$E$16*(VLOOKUP(Kalkulator!$D$16,Baza!$F:$H,2,0))))</f>
        <v>3.1850000000000001</v>
      </c>
      <c r="E1" t="str">
        <f>_xlfn.CONCAT($D$1," kwp")</f>
        <v>3,185 kwp</v>
      </c>
      <c r="F1">
        <f>Kalkulator!E16</f>
        <v>7</v>
      </c>
      <c r="H1" t="s">
        <v>75</v>
      </c>
      <c r="J1" t="s">
        <v>232</v>
      </c>
    </row>
    <row r="2" spans="1:18">
      <c r="A2" t="s">
        <v>51</v>
      </c>
      <c r="B2" s="13" t="str">
        <f>Kalkulator!$D$12</f>
        <v>PV + Inwerter hybrydowy + Magazyn Energii + Turbina</v>
      </c>
      <c r="C2" s="13">
        <f>SUM(D30,C33,C35)</f>
        <v>53040.165759999996</v>
      </c>
      <c r="D2" t="str">
        <f>IF(C5&gt;1,D5,D6)</f>
        <v>Deye Hybrydowy 5 kW- 3F</v>
      </c>
      <c r="H2" t="s">
        <v>74</v>
      </c>
      <c r="J2">
        <f>Informator!$D$8</f>
        <v>3437.0027412479999</v>
      </c>
    </row>
    <row r="3" spans="1:18">
      <c r="A3" t="s">
        <v>53</v>
      </c>
      <c r="B3" s="13" cm="1">
        <f t="array" ref="B3">_xlfn.IFS(Kalkulator!$D$16=Baza!$F$5,VLOOKUP(Kalkulator!$D$14,Baza!$I$17:$J$21,2,0),Kalkulator!$D$16=Baza!$F$4,Baza!$J$14)</f>
        <v>53.41</v>
      </c>
      <c r="C3" s="13">
        <f>IF(OR(B2=Baza!A8,B2=Baza!A9,B2=Baza!A10),0,IF(AND(B2=Baza!A6,Kalkulator!$D$14=Baza!I21,N5=1),VLOOKUP(D11,Baza!$I$17:$K$21,3,0),IF(Kalkulator!$D$14=Baza!I21,VLOOKUP(F1,Baza!$M$3:$N$113,2,0),$B$3*Kalkulator!$E$16)))</f>
        <v>373.87</v>
      </c>
      <c r="H3" t="s">
        <v>97</v>
      </c>
      <c r="I3" s="13">
        <f>IF($H$3=Kalkulator!$C$10,Obliczenia!$C$2*1.08,"")</f>
        <v>57283.379020799999</v>
      </c>
      <c r="J3">
        <f>Dofinansowanie!Q4</f>
        <v>28641.6895104</v>
      </c>
      <c r="K3">
        <f>IFERROR(IF(AND($B$2=Baza!A2,Kalkulator!$D$20=VLOOKUP(Kalkulator!$D$20,Baza!T:X,1,0)),1,0),0)</f>
        <v>0</v>
      </c>
      <c r="R3" t="s">
        <v>138</v>
      </c>
    </row>
    <row r="4" spans="1:18">
      <c r="A4" t="s">
        <v>54</v>
      </c>
      <c r="B4" s="13">
        <f>IF(OR(B2=Baza!A8,B2=Baza!A9,B2=Baza!A10),0,VLOOKUP(Kalkulator!$D$16,Baza!$F:$H,3,0))</f>
        <v>245</v>
      </c>
      <c r="C4" s="13">
        <f>$B$4*Kalkulator!$E$16</f>
        <v>1715</v>
      </c>
      <c r="H4" t="s">
        <v>96</v>
      </c>
      <c r="I4" s="13" t="str">
        <f>IF($H$4=Kalkulator!$C$10,Obliczenia!$C$2*1.23,"")</f>
        <v/>
      </c>
      <c r="J4">
        <f>SUM(J2:J3)</f>
        <v>32078.692251648001</v>
      </c>
      <c r="K4">
        <f>IFERROR(IF(AND($B$2=Baza!A3,Kalkulator!$D$20=VLOOKUP(Kalkulator!$D$20,Baza!$O$3:$S$9,1,0)),1,0),0)</f>
        <v>0</v>
      </c>
    </row>
    <row r="5" spans="1:18">
      <c r="A5" t="s">
        <v>76</v>
      </c>
      <c r="B5" s="13" cm="1">
        <f t="array" ref="B5">_xlfn.IFS(AND(Obliczenia!$D$1&lt;=Baza!$W$3),Baza!$X$3,AND(Obliczenia!$D$1&lt;=Baza!$W$4),Baza!$X$4,AND(Obliczenia!$D$1&lt;=Baza!$W$5),Baza!$X$5,Obliczenia!$D$1&lt;=Baza!$W$7,Baza!$X$7,AND(Obliczenia!$D$1&lt;=Baza!$W$6),Baza!$X$6,Obliczenia!$D$1&lt;=Baza!$W$8,Baza!$X$8,Obliczenia!$D$1&lt;=Baza!$W$9,Baza!$X$9,Obliczenia!$D$1&lt;=Baza!$W$10,Baza!$X$10,Obliczenia!$D$1&lt;=Baza!$W$11,Baza!$X$11,Obliczenia!$D$1&lt;=Baza!$W$12,Baza!$X$12,Obliczenia!$D$1&lt;=Baza!$W$13,Baza!$X$13,Obliczenia!$D$1&lt;=Baza!$W$14,Baza!$X$14,Obliczenia!$D$1&lt;=Baza!$W$15,Baza!$X$15,Obliczenia!$D$1&lt;=Baza!$W$16,Baza!$X$16,Obliczenia!$D$1&lt;=Baza!$W$17,Baza!$X$17,Obliczenia!$D$1&lt;=Baza!$W$18,Baza!$X$18,Obliczenia!$D$1&lt;=Baza!$W$19,Baza!$X$19,Obliczenia!$D$1&lt;=Baza!$W$20,Baza!$X$20)</f>
        <v>1320</v>
      </c>
      <c r="C5" s="13">
        <f>IFERROR(IF(SEARCH("sieciowy",$B$2)&gt;0,B5,0),0)</f>
        <v>0</v>
      </c>
      <c r="D5" s="13" t="str" cm="1">
        <f t="array" ref="D5">_xlfn.IFS(AND(Obliczenia!$D$1&lt;=Baza!$W$3,Obliczenia!N5=Obliczenia!H5),Baza!$T$3,AND(Obliczenia!$D$1&lt;=Baza!$W$3,Obliczenia!N5=Obliczenia!H6),Baza!$T$4,AND(Obliczenia!$D$1&lt;=Baza!$W$4),Baza!$T$4,AND(Obliczenia!$D$1&lt;=Baza!$W$5),Baza!$T$5,Obliczenia!$D$1&lt;=Baza!$W$7,Baza!$T$7,AND(Obliczenia!$D$1&lt;=Baza!$W$6),Baza!$T$6,Obliczenia!$D$1&lt;=Baza!$W$8,Baza!$T$8,Obliczenia!$D$1&lt;=Baza!$W$9,Baza!$T$9,Obliczenia!$D$1&lt;=Baza!$W$10,Baza!$T$10,Obliczenia!$D$1&lt;=Baza!$W$11,Baza!$T$11,Obliczenia!$D$1&lt;=Baza!$W$12,Baza!$T$12,Obliczenia!$D$1&lt;=Baza!$W$13,Baza!$T$13,Obliczenia!$D$1&lt;=Baza!$W$14,Baza!$T$14,Obliczenia!$D$1&lt;=Baza!$W$15,Baza!$T$15,Obliczenia!$D$1&lt;=Baza!$W$16,Baza!$T$16,Obliczenia!$D$1&lt;=Baza!$W$17,Baza!$T$17,Obliczenia!$D$1&lt;=Baza!$W$18,Baza!$T$18,Obliczenia!$D$1&lt;=Baza!$W$19,Baza!$T$19,Obliczenia!$D$1&lt;=Baza!$W$20,Baza!$T$20)</f>
        <v>Sofar Solar 4kW - 3F (10 lat)</v>
      </c>
      <c r="H5">
        <v>1</v>
      </c>
      <c r="J5" s="13">
        <f>I3-J4</f>
        <v>25204.686769151998</v>
      </c>
      <c r="K5">
        <f>IFERROR(IF(AND($B$2=Baza!A4,Kalkulator!$D$20=VLOOKUP(Kalkulator!$D$20,Baza!$O$3:$S$9,1,0)),1,0),0)</f>
        <v>0</v>
      </c>
      <c r="N5">
        <f>Kalkulator!$D$22</f>
        <v>3</v>
      </c>
      <c r="P5" s="13" t="str" cm="1">
        <f t="array" ref="P5:P11">_xlfn.IFS(AND(Kalkulator!$D$12=Baza!$A$6,Kalkulator!$E$16=8),Baza!$O$22,OR(Kalkulator!$D$12=Baza!$A$6,Kalkulator!$D$12=Baza!$A$9),Baza!$O$23:$O$29,OR(Kalkulator!$D$12=Baza!$A$7,Kalkulator!$D$12=Baza!$A$8,Kalkulator!$D$12=Baza!$A$10),Baza!$O$21)</f>
        <v>Deye Hybrydowy 5 kW- 3F</v>
      </c>
    </row>
    <row r="6" spans="1:18">
      <c r="A6" t="s">
        <v>77</v>
      </c>
      <c r="B6" s="13" cm="1">
        <f t="array" ref="B6">IFERROR(_xlfn.IFS(OR(B2=Baza!A2,Obliczenia!B2=Baza!A3,Obliczenia!B2=Baza!A4),_xlfn.IFS(AND(Obliczenia!$D$1&lt;=Baza!$R$3,Kalkulator!$D$22=Obliczenia!$H$5),Baza!$S$3,AND(Obliczenia!$D$1&lt;=Baza!$R$3,Kalkulator!$D$22=Obliczenia!$H$6),Baza!$S$4,Obliczenia!$D$1&lt;=Baza!$R$4,Baza!$S$4,Obliczenia!$D$1&lt;=Baza!$R$5,Baza!$S$5,Obliczenia!$D$1&lt;=Baza!$R$6,Baza!$S$6,Obliczenia!$D$1&lt;=Baza!$R$7,Baza!$S$7,Obliczenia!$D$1&lt;=Baza!$R$8,Baza!$S$8,Obliczenia!$D$1&lt;=Baza!$R$9,Baza!$S$9,Obliczenia!$D$1&lt;=Baza!$R$10,Baza!$S$10,Obliczenia!$D$1&lt;=Baza!$R$11,Baza!$S$11,Obliczenia!$D$1&lt;=Baza!$R$12,Baza!$S$12),AND($D$12=Baza!$A$6,$E$16=8),_xlfn.IFS(AND(Obliczenia!$D$1&lt;=Baza!$Q$34,Kalkulator!$D$22=Obliczenia!$H$5),Baza!$S$34,AND(Obliczenia!$D$1&lt;=Baza!$Q$35,Kalkulator!$D$22=Obliczenia!$H$6),Baza!$S$35,Obliczenia!$D$1&lt;=Baza!$Q$36,Baza!$S$36,Obliczenia!$D$1&lt;=Baza!$Q$37,Baza!$S$37,Obliczenia!$D$1&lt;=Baza!$Q$38,Baza!$S$38,Obliczenia!$D$1&lt;=Baza!$Q$39,Baza!$S$39),B2=Baza!A6,_xlfn.IFS(AND(Obliczenia!$D$1&lt;=Baza!$Q$35,Kalkulator!$D$22=Obliczenia!$H$5),Baza!S22,AND(Obliczenia!$D$1&lt;=Baza!$Q$35,Kalkulator!$D$22=Obliczenia!$H$6),Baza!$S$35,Obliczenia!$D$1&lt;=Baza!$Q$36,Baza!$S$36,Obliczenia!$D$1&lt;=Baza!$Q$37,Baza!$S$37,Obliczenia!$D$1&lt;=Baza!$Q$38,Baza!$S$38,Obliczenia!$D$1&lt;=Baza!$Q$39,Baza!$S$39,Obliczenia!$D$1&lt;=Baza!$Q$40,Baza!$S$40,Obliczenia!$D$1&lt;=Baza!$Q$41,Baza!$S$41),B2=Baza!A9,IF(B2=Baza!A9,VLOOKUP(Kalkulator!D20,Baza!O34:S41,5,FALSE)),B2=Baza!A10,IF(Kalkulator!D19=Baza!Z26,_xlfn.IFS(AND(Obliczenia!$D$1&lt;=Baza!$Q$22,Kalkulator!$D$22=Obliczenia!$H$5),Baza!$S$22,AND(Obliczenia!$D$1&lt;=Baza!$Q$35,Kalkulator!$D$22=Obliczenia!$H$6),Baza!$S$35,Obliczenia!$D$1&lt;=Baza!$Q$36,Baza!$S$36,Obliczenia!$D$1&lt;=Baza!$Q$37,Baza!$S$37,Obliczenia!$D$1&lt;=Baza!$Q$38,Baza!$S$38,Obliczenia!$D$1&lt;=Baza!$Q$39,Baza!$S$39),0)),0)</f>
        <v>6058</v>
      </c>
      <c r="C6" s="13">
        <f>IFERROR(IF(OR(B2=Baza!A5,B2=Baza!A6,B2=Baza!A9,B2=Baza!A10),B6,0),0)</f>
        <v>6058</v>
      </c>
      <c r="D6" s="13" t="str" cm="1">
        <f t="array" ref="D6">_xlfn.IFS(OR(B2=Baza!A2,B2=Baza!A3,B2=Baza!A4),_xlfn.IFS(AND(Obliczenia!$D$1&lt;=Baza!$R$3,Obliczenia!N5=Obliczenia!H5),Baza!$O$3,AND(Obliczenia!$D$1&lt;=Baza!$R$3,Obliczenia!N5=Obliczenia!H6),Baza!$O$4,Obliczenia!$D$1&lt;=Baza!$R$4,Baza!$O$4,Obliczenia!$D$1&lt;=Baza!$R$5,Baza!$O$5,Obliczenia!$D$1&lt;=Baza!$R$6,Baza!$O$6,Obliczenia!$D$1&lt;=Baza!$R$7,Baza!$O$7,Obliczenia!$D$1&lt;=Baza!$R$8,Baza!$O$8,Obliczenia!$D$1&lt;=Baza!$R$9,Baza!$O$9,Obliczenia!$D$1&lt;=Baza!$R10,Baza!$O$10,Obliczenia!$D$1&lt;=Baza!$R11,Baza!$O$11,Obliczenia!$D$1&lt;=Baza!$R12,Baza!$O$12),OR(B2=Baza!A6),_xlfn.IFS(AND(Obliczenia!$D$1&lt;=Baza!$R$22,Obliczenia!N5=Obliczenia!H5),Baza!$O$22,AND(Obliczenia!$D$1&lt;=Baza!$R$22,Obliczenia!N5=Obliczenia!H6),Baza!$O$35,Obliczenia!$D$1&lt;=Baza!$R$35,Baza!$O$35,Obliczenia!$D$1&lt;=Baza!$R$36,Baza!$O$36,Obliczenia!$D$1&lt;=Baza!$R$37,Baza!$O$37,Obliczenia!$D$1&lt;=Baza!$R$38,Baza!$O$38,Obliczenia!$D$1&lt;=Baza!$R$39,Baza!$O$39,Obliczenia!$D$1&lt;=Baza!$R$40,Baza!$O$40,Obliczenia!$D$1&lt;=Baza!$R$41,Baza!$O$41),OR(B2=Baza!A7,B2=Baza!A8),"",Kalkulator!D19=Baza!Z27,_xlfn.IFS(AND(Obliczenia!$D$1&lt;=Baza!$R$22,Obliczenia!N5=Obliczenia!H5),Baza!$O$22,AND(Obliczenia!$D$1&lt;=Baza!$R$22,Obliczenia!N5=Obliczenia!H6),Baza!$O$23,Obliczenia!$D$1&lt;=Baza!$R$35,Baza!$O$35,Obliczenia!$D$1&lt;=Baza!$R$36,Baza!$O$36,Obliczenia!$D$1&lt;=Baza!$R$37,Baza!$O$37,Obliczenia!$D$1&lt;=Baza!$R$38,Baza!$O$38,Obliczenia!$D$1&lt;=Baza!$R$39,Baza!$O$39,Obliczenia!$D$1&lt;=Baza!$R$40,Baza!$O$40,Obliczenia!$D$1&lt;=Baza!$R$41,Baza!$O$41),Kalkulator!D19=Baza!Z26,"")</f>
        <v>Deye Hybrydowy 5 kW- 3F</v>
      </c>
      <c r="E6" s="13" cm="1">
        <f t="array" ref="E6">IFERROR(IFERROR(_xlfn.IFS($D$5=Kalkulator!$D$20,Obliczenia!$C$5,$D$6=Kalkulator!$D$20,Obliczenia!$C$6),VLOOKUP(Kalkulator!$D$20,Baza!$T$3:$X$21,5,0)),IF(B2=Baza!A6,VLOOKUP(Kalkulator!$D$20,Baza!O35:S41,5,0),IF(OR(B2=Baza!A9,B2=Baza!A10),C6,0)))</f>
        <v>6058</v>
      </c>
      <c r="F6" cm="1">
        <f t="array" ref="F6">IF(Kalkulator!D19=Baza!Z26,_xlfn.IFS(AND(Obliczenia!$D$1&lt;=Baza!$Q$22,Kalkulator!$D$22=Obliczenia!$H$5),Baza!$S$22,AND(Obliczenia!$D$1&lt;=Baza!$Q$35,Kalkulator!$D$22=Obliczenia!$H$6),Baza!$S$35,Obliczenia!$D$1&lt;=Baza!$Q$36,Baza!$S$36,Obliczenia!$D$1&lt;=Baza!$Q$37,Baza!$S$37,Obliczenia!$D$1&lt;=Baza!$Q$38,Baza!$S$38,Obliczenia!$D$1&lt;=Baza!$Q$39,Baza!$S$39),0)</f>
        <v>0</v>
      </c>
      <c r="H6">
        <v>3</v>
      </c>
      <c r="K6">
        <f>IF(AND($B$2=Baza!A5),1,0)</f>
        <v>0</v>
      </c>
      <c r="P6" t="str">
        <v>Deye Hybrydowy 6 kW- 3F</v>
      </c>
    </row>
    <row r="7" spans="1:18">
      <c r="A7" t="s">
        <v>56</v>
      </c>
      <c r="B7" s="13">
        <f>Kalkulator!$D$24*Baza!AP5</f>
        <v>0</v>
      </c>
      <c r="C7" s="13">
        <f>B7</f>
        <v>0</v>
      </c>
      <c r="K7">
        <f>IF(AND($B$2=Baza!A6),1,0)</f>
        <v>1</v>
      </c>
      <c r="P7" t="str">
        <v>Deye Hybrydowy 8 kW- 3F</v>
      </c>
    </row>
    <row r="8" spans="1:18">
      <c r="A8" t="s">
        <v>57</v>
      </c>
      <c r="B8" s="13">
        <f>IF(Kalkulator!$D$26&gt;0,(Kalkulator!$D$26*Baza!$AK$5)+Baza!$AK$6,0)</f>
        <v>0</v>
      </c>
      <c r="C8" s="13">
        <f t="shared" ref="C8:C15" si="0">B8</f>
        <v>0</v>
      </c>
      <c r="D8" cm="1">
        <f t="array" ref="D8">IF(B2=Baza!A9,_xlfn.IFS(AND(Obliczenia!$D$1&lt;=Baza!$Q$22,Kalkulator!$D$22=Obliczenia!$H$5),Baza!$S$22,AND(Obliczenia!$D$1&lt;=Baza!$Q$35,Kalkulator!$D$22=Obliczenia!$H$6),Baza!$S$35,Obliczenia!$D$1&lt;=Baza!$Q$36,Baza!$S$36,Obliczenia!$D$1&lt;=Baza!$Q$37,Baza!$S$37,Obliczenia!$D$1&lt;=Baza!$Q$38,Baza!$S$38,Obliczenia!$D$1&lt;=Baza!$Q$39,Baza!$S$39,Obliczenia!$D$1&lt;=Baza!$Q$40,Baza!$S$40,Obliczenia!$D$1&lt;=Baza!$Q$41,Baza!$S$41),0)</f>
        <v>0</v>
      </c>
      <c r="F8" cm="1">
        <f t="array" ref="F8">_xlfn.IFS(AND(Obliczenia!$D$1&lt;=Baza!$Q$35,Kalkulator!$D$22=Obliczenia!$H$5),Baza!S22,AND(Obliczenia!$D$1&lt;=Baza!$Q$35,Kalkulator!$D$22=Obliczenia!$H$6),Baza!$S$35,Obliczenia!$D$1&lt;=Baza!$Q$36,Baza!$S$36,Obliczenia!$D$1&lt;=Baza!$Q$37,Baza!$S$37,Obliczenia!$D$1&lt;=Baza!$Q$38,Baza!$S$38,Obliczenia!$D$1&lt;=Baza!$Q$39,Baza!$S$39)</f>
        <v>6058</v>
      </c>
      <c r="G8" t="str" cm="1">
        <f t="array" ref="G8">_xlfn.IFS(AND(Obliczenia!$D$1&lt;=Baza!$R$22,Obliczenia!N5=Obliczenia!H5),Baza!$O$22,AND(Obliczenia!$D$1&lt;=Baza!$R$22,Obliczenia!N5=Obliczenia!H6),Baza!$O$23,Obliczenia!$D$1&lt;=Baza!$R$23,Baza!$O$23,Obliczenia!$D$1&lt;=Baza!$R$24,Baza!$O$24,Obliczenia!$D$1&lt;=Baza!$R$25,Baza!$O$25,Obliczenia!$D$1&lt;=Baza!$R$26,Baza!$O$26,Obliczenia!$D$1&lt;=Baza!$R$27,Baza!$O$27,Obliczenia!$D$1&lt;=Baza!$R$28,Baza!$O$28,Obliczenia!$D$1&lt;=Baza!$R$29,Baza!$O$29)</f>
        <v>Deye Hybrydowy 5 kW- 3F</v>
      </c>
      <c r="K8">
        <f>IFERROR(IF($B$2=Baza!A7,1,0),0)</f>
        <v>0</v>
      </c>
      <c r="L8">
        <f>IFERROR(IF(AND($B$2=Baza!A7,Kalkulator!$D$20=VLOOKUP(Kalkulator!$D$20,Baza!$O$22:$S$26,1,0)),1,0),0)</f>
        <v>0</v>
      </c>
      <c r="P8" t="str">
        <v>Deye Hybrydowy 10 kW- 3F</v>
      </c>
    </row>
    <row r="9" spans="1:18">
      <c r="A9" t="s">
        <v>58</v>
      </c>
      <c r="B9" s="13">
        <f>Kalkulator!$D$27*Baza!$AP$6</f>
        <v>0</v>
      </c>
      <c r="C9" s="13">
        <f t="shared" si="0"/>
        <v>0</v>
      </c>
      <c r="G9" t="str" cm="1">
        <f t="array" ref="G9">_xlfn.IFS(AND(Obliczenia!$D$1&lt;=Baza!$R$22,Obliczenia!N5=Obliczenia!H5),Baza!$O$22,AND(Obliczenia!$D$1&lt;=Baza!$R$22,Obliczenia!N5=Obliczenia!H6),Baza!$O$23,Obliczenia!$D$1&lt;=Baza!$R$35,Baza!$O$35,Obliczenia!$D$1&lt;=Baza!$R$36,Baza!$O$36,Obliczenia!$D$1&lt;=Baza!$R$37,Baza!$O$37,Obliczenia!$D$1&lt;=Baza!$R$38,Baza!$O$38,Obliczenia!$D$1&lt;=Baza!$R$39,Baza!$O$39,Obliczenia!$D$1&lt;=Baza!$R$40,Baza!$O$40,Obliczenia!$D$1&lt;=Baza!$R$41,Baza!$O$41)</f>
        <v>Deye Hybrydowy 5 kW- 3F</v>
      </c>
      <c r="K9">
        <f>IFERROR(IF($B$2=Baza!A8,1,0),0)</f>
        <v>0</v>
      </c>
      <c r="P9" t="str">
        <v>Deye Hybrydowy 12 kW- 3F</v>
      </c>
    </row>
    <row r="10" spans="1:18">
      <c r="A10" t="s">
        <v>4</v>
      </c>
      <c r="B10" s="13" cm="1">
        <f t="array" ref="B10">IFERROR(_xlfn.IFS(OR(B2=Baza!A2,B2=Baza!A3,B2=Baza!A4),_xlfn.IFS(Obliczenia!$D$1&lt;=Baza!$AD$3,Baza!$AE$3,Obliczenia!$D$1&lt;=Baza!$AD$4,Baza!$AE$4,Obliczenia!$D$1&lt;=Baza!$AD$5,Baza!$AE$5,Obliczenia!$D$1&lt;=Baza!$AD$6,Baza!$AE$6,Obliczenia!$D$1&lt;=Baza!$AD$7,Baza!$AE$7,Obliczenia!$D$1&lt;=Baza!$AD$8,Baza!$AE$8,Obliczenia!$D$1&lt;=Baza!$AD$9,Baza!$AE$9),B2=Baza!A5,Baza!AE13,B2=Baza!A6,_xlfn.IFS(Obliczenia!$D$1&lt;=Baza!$AD$13,Baza!$AE$13,Obliczenia!$D$1&lt;=Baza!$AD$14,Baza!$AE$14,Obliczenia!$D$1&lt;=Baza!$AD$15,Baza!$AE$15,Obliczenia!$D$1&lt;=Baza!$AD$16,Baza!$AE$16,Obliczenia!$D$1&lt;=Baza!$AD$17,Baza!$AE$17,Obliczenia!$D$1&lt;=Baza!$AD$18,Baza!$AE$18,Obliczenia!$D$1&lt;=Baza!$AD$19,Baza!$AE$19),B2=Baza!A7,_xlfn.IFS(Obliczenia!$D$1&lt;=Baza!$AD$26,Baza!$AE$26,Obliczenia!$D$1&lt;=Baza!$AD$27,Baza!$AE$27,Obliczenia!$D$1&lt;=Baza!$AD$28,Baza!$AE$28,Obliczenia!$D$1&lt;=Baza!$AD$29,Baza!$AE$29,Obliczenia!$D$1&lt;=Baza!$AD$30,Baza!$AE$30,Obliczenia!$D$1&lt;=Baza!$AD$31,Baza!$AE$31,Obliczenia!$D$1&lt;=Baza!$AD$32,Baza!$AE$32,Obliczenia!$D$1&lt;=Baza!$AD$33,Baza!$AE$33),B2=Baza!A9,1689,B2=Baza!A10,IF(Kalkulator!D19=Baza!Z26,1689,600)),0)</f>
        <v>2269</v>
      </c>
      <c r="C10" s="13">
        <f t="shared" si="0"/>
        <v>2269</v>
      </c>
      <c r="D10" cm="1">
        <f t="array" ref="D10">_xlfn.IFS(Obliczenia!$D$1&lt;=Baza!$AD$13,Baza!$AE$13,Obliczenia!$D$1&lt;=Baza!$AD$14,Baza!$AE$14,Obliczenia!$D$1&lt;=Baza!$AD$15,Baza!$AE$15,Obliczenia!$D$1&lt;=Baza!$AD$16,Baza!$AE$16,Obliczenia!$D$1&lt;=Baza!$AD$17,Baza!$AE$17,Obliczenia!$D$1&lt;=Baza!$AD$18,Baza!$AE$18,Obliczenia!$D$1&lt;=Baza!$AD$19,Baza!$AE$19)</f>
        <v>2269</v>
      </c>
      <c r="K10">
        <f>IFERROR(IF(AND($B$2=Baza!A9,Kalkulator!$D$20=VLOOKUP(Kalkulator!$D$20,Baza!$O$22:$S$29,1,0)),1,0),0)</f>
        <v>0</v>
      </c>
      <c r="P10" t="str">
        <v>Deye Hybrydowy 15 kW- 3F</v>
      </c>
    </row>
    <row r="11" spans="1:18">
      <c r="A11" t="s">
        <v>59</v>
      </c>
      <c r="B11" s="13" cm="1">
        <f t="array" ref="B11">_xlfn.IFS(OR(B2=Baza!A2,B2=Baza!A3,B2=Baza!A4),_xlfn.IFS(Obliczenia!$D$1&lt;=Baza!$AG$3,Baza!$AH$3,Obliczenia!$D$1&lt;=Baza!$AG$4,Baza!$AH$4,Obliczenia!$D$1&lt;=Baza!$AG$5,Baza!$AH$5,Obliczenia!$D$1&lt;=Baza!$AG$6,Baza!$AH$6,Obliczenia!$D$1&lt;=Baza!$AG$7,Baza!$AH$7,Obliczenia!$D$1&lt;=Baza!$AG$8,Baza!$AH$8,Obliczenia!$D$1&lt;=Baza!$AG$9,Baza!$AH$9),OR(B2=Baza!A6,B2=Baza!A7),IF(Obliczenia!D11=Baza!I20,_xlfn.IFS(Obliczenia!$D$1&lt;=Baza!$AG$36,Baza!$AH$36,Obliczenia!$D$1&lt;=Baza!$AG$37,Baza!$AH$37,Obliczenia!$D$1&lt;=Baza!$AG$38,Baza!$AH$38,Obliczenia!$D$1&lt;=Baza!$AG$39,Baza!$AH$39,Obliczenia!$D$1&lt;=Baza!$AG$40,Baza!$AH$40,Obliczenia!$D$1&lt;=Baza!$AG$41,Baza!$AH$41,Obliczenia!$D$1&lt;=Baza!$AG$42,Baza!$AH$42,Obliczenia!$D$1&lt;=Baza!$AG$43,Baza!$AH$43,Obliczenia!$D$1&lt;=Baza!$AG$44,Baza!$AH$44,Obliczenia!$D$1&lt;=Baza!$AG$45,Baza!$AH$45,Obliczenia!$D$1&lt;=Baza!$AG$46,Baza!$AH$46),_xlfn.IFS(Obliczenia!$D$1&lt;=Baza!$AG$13,Baza!$AH$13,Obliczenia!$D$1&lt;=Baza!$AG$14,Baza!$AH$14,Obliczenia!$D$1&lt;=Baza!$AG$15,Baza!$AH$15,Obliczenia!$D$1&lt;=Baza!$AG$16,Baza!$AH$16,Obliczenia!$D$1&lt;=Baza!$AG$17,Baza!$AH$17,Obliczenia!$D$1&lt;=Baza!$AG$18,Baza!$AH$18,Obliczenia!$D$1&lt;=Baza!$AG$19,Baza!$AH$19,Obliczenia!$D$1&lt;=Baza!$AG$20,Baza!$AH$20,Obliczenia!$D$1&lt;=Baza!$AG$21,Baza!$AH$21,Obliczenia!$D$1&lt;=Baza!$AG$22,Baza!$AH$22,Obliczenia!$D$1&lt;=Baza!$AG$23,Baza!$AH$23)),B2=Baza!A8,Baza!AP18,B2=Baza!A9,1400,B2=Baza!A10,IF(Kalkulator!D19=Baza!Z26,Baza!AP19,Baza!AQ19),B2=Baza!A5,1600)</f>
        <v>1200</v>
      </c>
      <c r="C11" s="13">
        <f>B11</f>
        <v>1200</v>
      </c>
      <c r="D11" t="str">
        <f>Kalkulator!$D$14</f>
        <v>Dach skośny - Blacha Trapezowa</v>
      </c>
      <c r="F11" cm="1">
        <f t="array" ref="F11">IF(Obliczenia!D11=Baza!I20,_xlfn.IFS(Obliczenia!$D$1&lt;=Baza!$AG$36,Baza!$AH$36,Obliczenia!$D$1&lt;=Baza!$AG$37,Baza!$AH$37,Obliczenia!$D$1&lt;=Baza!$AG$38,Baza!$AH$38,Obliczenia!$D$1&lt;=Baza!$AG$39,Baza!$AH$39,Obliczenia!$D$1&lt;=Baza!$AG$40,Baza!$AH$40,Obliczenia!$D$1&lt;=Baza!$AG$41,Baza!$AH$41,Obliczenia!$D$1&lt;=Baza!$AG$42,Baza!$AH$42,Obliczenia!$D$1&lt;=Baza!$AG$43,Baza!$AH$43,Obliczenia!$D$1&lt;=Baza!$AG$44,Baza!$AH$44,Obliczenia!$D$1&lt;=Baza!$AG$45,Baza!$AH$45,Obliczenia!$D$1&lt;=Baza!$AG$46,Baza!$AH$46),_xlfn.IFS(Obliczenia!$D$1&lt;=Baza!$AG$13,Baza!$AH$13,Obliczenia!$D$1&lt;=Baza!$AG$14,Baza!$AH$14,Obliczenia!$D$1&lt;=Baza!$AG$15,Baza!$AH$15,Obliczenia!$D$1&lt;=Baza!$AG$16,Baza!$AH$16,Obliczenia!$D$1&lt;=Baza!$AG$17,Baza!$AH$17,Obliczenia!$D$1&lt;=Baza!$AG$18,Baza!$AH$18,Obliczenia!$D$1&lt;=Baza!$AG$19,Baza!$AH$19,Obliczenia!$D$1&lt;=Baza!$AG$20,Baza!$AH$20,Obliczenia!$D$1&lt;=Baza!$AG$21,Baza!$AH$21,Obliczenia!$D$1&lt;=Baza!$AG$22,Baza!$AH$22,Obliczenia!$D$1&lt;=Baza!$AG$23,Baza!$AH$23))</f>
        <v>1200</v>
      </c>
      <c r="H11" cm="1">
        <f t="array" ref="H11">IF(Kalkulator!D19=Baza!Z26,_xlfn.IFS(AND(Obliczenia!$D$1&lt;=Baza!$Q$22,Kalkulator!$D$22=Obliczenia!$H$5),Baza!$S$22,AND(Obliczenia!$D$1&lt;=Baza!$Q$35,Kalkulator!$D$22=Obliczenia!$H$6),Baza!$S$35,Obliczenia!$D$1&lt;=Baza!$Q$36,Baza!$S$36,Obliczenia!$D$1&lt;=Baza!$Q$37,Baza!$S$37,Obliczenia!$D$1&lt;=Baza!$Q$38,Baza!$S$38,Obliczenia!$D$1&lt;=Baza!$Q$39,Baza!$S$39),0)</f>
        <v>0</v>
      </c>
      <c r="K11">
        <f>IFERROR(IF(AND($B$2=Baza!A10,Kalkulator!$D$20=VLOOKUP(Kalkulator!$D$20,Baza!$O$22:$S$29,1,0)),1,0),0)</f>
        <v>0</v>
      </c>
      <c r="N11" cm="1">
        <f t="array" ref="N11">IFERROR(_xlfn.IFS(OR(B2=Baza!A2,Obliczenia!B2=Baza!A3,Obliczenia!B2=Baza!A4),_xlfn.IFS(AND(Obliczenia!$D$1&lt;=Baza!$R$3,Kalkulator!$D$22=Obliczenia!$H$5),Baza!$S$3,AND(Obliczenia!$D$1&lt;=Baza!$R$3,Kalkulator!$D$22=Obliczenia!$H$6),Baza!$S$4,Obliczenia!$D$1&lt;=Baza!$R$4,Baza!$S$4,Obliczenia!$D$1&lt;=Baza!$R$5,Baza!$S$5,Obliczenia!$D$1&lt;=Baza!$R$6,Baza!$S$6,Obliczenia!$D$1&lt;=Baza!$R$7,Baza!$S$7,Obliczenia!$D$1&lt;=Baza!$R$8,Baza!$S$8,Obliczenia!$D$1&lt;=Baza!$R$9,Baza!$S$9,Obliczenia!$D$1&lt;=Baza!$R$10,Baza!$S$10,Obliczenia!$D$1&lt;=Baza!$R$11,Baza!$S$11,Obliczenia!$D$1&lt;=Baza!$R$12,Baza!$S$12),B2=Baza!A5,_xlfn.IFS(AND(Obliczenia!$D$1&lt;=Baza!$Q$34,Kalkulator!$D$22=Obliczenia!$H$5),Baza!$S$34,AND(Obliczenia!$D$1&lt;=Baza!$Q$35,Kalkulator!$D$22=Obliczenia!$H$6),Baza!$S$35,Obliczenia!$D$1&lt;=Baza!$Q$36,Baza!$S$36,Obliczenia!$D$1&lt;=Baza!$Q$37,Baza!$S$37,Obliczenia!$D$1&lt;=Baza!$Q$38,Baza!$S$38,Obliczenia!$D$1&lt;=Baza!$Q$39,Baza!$S$39),B2=Baza!A6,_xlfn.IFS(AND(Obliczenia!$D$1&lt;=Baza!$Q$22,Kalkulator!$D$22=Obliczenia!$H$5),Baza!$S$22,AND(Obliczenia!$D$1&lt;=Baza!$Q$22,Kalkulator!$D$22=Obliczenia!$H$6),IF(B2=Baza!A5,Baza!$S$22,Baza!$S$35),Obliczenia!$D$1&lt;=Baza!$Q$23,Baza!$S$23,Obliczenia!$D$1&lt;=Baza!$Q$24,Baza!$S$24,Obliczenia!$D$1&lt;=Baza!$Q$25,Baza!$S$25,Obliczenia!$D$1&lt;=Baza!$Q$26,Baza!$S$26),B2=Baza!A9,IF(Kalkulator!D19=Baza!Z26,_xlfn.IFS(AND(Obliczenia!$D$1&lt;=Baza!$Q$22,Kalkulator!$D$22=Obliczenia!$H$5),Baza!$S$22,AND(Obliczenia!$D$1&lt;=Baza!$Q$35,Kalkulator!$D$22=Obliczenia!$H$6),Baza!$S$35,Obliczenia!$D$1&lt;=Baza!$Q$36,Baza!$S$36,Obliczenia!$D$1&lt;=Baza!$Q$37,Baza!$S$37,Obliczenia!$D$1&lt;=Baza!$Q$38,Baza!$S$38,Obliczenia!$D$1&lt;=Baza!$Q$39,Baza!$S$39),0)),0)</f>
        <v>6058</v>
      </c>
      <c r="P11" t="str">
        <v>Deye Hybrydowy 20 kW- 3F</v>
      </c>
    </row>
    <row r="12" spans="1:18">
      <c r="H12" cm="1">
        <f t="array" ref="H12">IF(Kalkulator!D19=Baza!Z27,_xlfn.IFS(AND(Obliczenia!$D$1&lt;=Baza!$Q$22,Kalkulator!$D$22=Obliczenia!$H$5),Baza!$S$22,AND(Obliczenia!$D$1&lt;=Baza!$Q$35,Kalkulator!$D$22=Obliczenia!$H$6),Baza!$S$35,Obliczenia!$D$1&lt;=Baza!$Q$36,Baza!$S$36,Obliczenia!$D$1&lt;=Baza!$Q$37,Baza!$S$37,Obliczenia!$D$1&lt;=Baza!$Q$38,Baza!$S$38,Obliczenia!$D$1&lt;=Baza!$Q$39,Baza!$S$39),0)</f>
        <v>6058</v>
      </c>
      <c r="K12">
        <f>IFERROR(SUM(K4:K11),0)</f>
        <v>1</v>
      </c>
    </row>
    <row r="13" spans="1:18">
      <c r="A13" t="s">
        <v>60</v>
      </c>
      <c r="B13" s="13">
        <f>IF(Kalkulator!D29=Obliczenia!$H$2,Baza!AP8,0)</f>
        <v>0</v>
      </c>
      <c r="C13" s="13">
        <f t="shared" si="0"/>
        <v>0</v>
      </c>
      <c r="E13" t="e" cm="1">
        <f t="array" ref="E13">_xlfn.IFS($D$12=Baza!$A$2,Baza!$T$3:$T$21,$D$12=Baza!$A$3,Baza!$O$3:$O$12,$D$12=Baza!$A$4,Baza!$O$3:$O$12,$D$12=Baza!$A$6,Baza!$O$23:$O$26)</f>
        <v>#N/A</v>
      </c>
    </row>
    <row r="14" spans="1:18">
      <c r="A14" t="s">
        <v>29</v>
      </c>
      <c r="B14" s="13">
        <f>IF(Kalkulator!D30=Obliczenia!$H$2,Baza!AP9,0)</f>
        <v>0</v>
      </c>
      <c r="C14" s="13">
        <f t="shared" si="0"/>
        <v>0</v>
      </c>
    </row>
    <row r="15" spans="1:18">
      <c r="A15" t="s">
        <v>48</v>
      </c>
      <c r="B15" s="13">
        <f>IF(Kalkulator!D31=Obliczenia!$H$2,Baza!AP10,0)</f>
        <v>0</v>
      </c>
      <c r="C15" s="13">
        <f t="shared" si="0"/>
        <v>0</v>
      </c>
    </row>
    <row r="16" spans="1:18">
      <c r="A16" t="s">
        <v>135</v>
      </c>
      <c r="B16" s="13">
        <f>IF(H1=Kalkulator!D32,0,Baza!AP11)</f>
        <v>0</v>
      </c>
      <c r="C16" s="13">
        <f>IF(Kalkulator!$D$12&lt;&gt;Baza!$A$2,Obliczenia!B16,0)</f>
        <v>0</v>
      </c>
      <c r="L16" t="b">
        <f>IF(B2=Baza!A9,VLOOKUP(Kalkulator!D20,Baza!O34:S41,5,FALSE))</f>
        <v>0</v>
      </c>
      <c r="N16" s="36"/>
      <c r="O16" s="13"/>
    </row>
    <row r="17" spans="1:15">
      <c r="A17" t="s">
        <v>46</v>
      </c>
      <c r="B17" s="13">
        <f>IF(Kalkulator!D23=Obliczenia!$H$2,Baza!AP17,0)</f>
        <v>0</v>
      </c>
      <c r="C17" s="13">
        <f>IF(D1&gt;=6.5,B17,0)</f>
        <v>0</v>
      </c>
      <c r="E17" t="e">
        <f>VLOOKUP($D$23,Baza!$Z$3:$AB$10,3,0)</f>
        <v>#N/A</v>
      </c>
      <c r="I17">
        <f>14*0.455</f>
        <v>6.37</v>
      </c>
      <c r="L17" cm="1">
        <f t="array" ref="L17">IF(B2=Baza!A9,_xlfn.IFS(AND(Obliczenia!$D$1&lt;=Baza!$Q$22,Kalkulator!$D$22=Obliczenia!$H$5),Baza!$S$22,AND(Obliczenia!$D$1&lt;=Baza!$Q$35,Kalkulator!$D$22=Obliczenia!$H$6),Baza!$S$35,Obliczenia!$D$1&lt;=Baza!$Q$36,Baza!$S$36,Obliczenia!$D$1&lt;=Baza!$Q$37,Baza!$S$37,Obliczenia!$D$1&lt;=Baza!$Q$38,Baza!$S$38,Obliczenia!$D$1&lt;=Baza!$Q$39,Baza!$S$39,Obliczenia!$D$1&lt;=Baza!$Q$40,Baza!$S$40,Obliczenia!$D$1&lt;=Baza!$Q$41,Baza!$S$41),0)</f>
        <v>0</v>
      </c>
    </row>
    <row r="18" spans="1:15">
      <c r="A18" t="s">
        <v>136</v>
      </c>
      <c r="B18" s="13">
        <f>IF(Kalkulator!D28=Obliczenia!$H$2,Baza!AP12,0)</f>
        <v>0</v>
      </c>
      <c r="C18" s="13">
        <f t="shared" ref="C18" si="1">B18</f>
        <v>0</v>
      </c>
    </row>
    <row r="19" spans="1:15">
      <c r="A19" t="s">
        <v>100</v>
      </c>
      <c r="B19" s="13" cm="1">
        <f t="array" ref="B19">IF(Kalkulator!D25=Obliczenia!$H$2,_xlfn.IFS(Kalkulator!$D$20=Baza!$T$3,Baza!$AP$21,Kalkulator!$D$20=Baza!$O$3,Baza!$AP$21,Kalkulator!$D$22=Obliczenia!$H$6,Baza!AP22),0)</f>
        <v>0</v>
      </c>
      <c r="C19" s="13">
        <f>B19</f>
        <v>0</v>
      </c>
    </row>
    <row r="20" spans="1:15">
      <c r="A20" t="s">
        <v>7</v>
      </c>
      <c r="B20" s="52" cm="1">
        <f t="array" ref="B20">IFERROR(_xlfn.IFS(OR(B2=Baza!A2,B2=Baza!A3,B2=Baza!A4),_xlfn.IFS(Obliczenia!$D$1&lt;=Baza!$AM$3,$D$1*Baza!$AN$3,Obliczenia!$D$1&lt;=Baza!$AM$4,$D$1*Baza!$AN$4,Obliczenia!$D$1&lt;=Baza!$AM$5,$D$1*Baza!$AN$5,Obliczenia!$D$1&lt;=Baza!$AM$6,$D$1*Baza!$AN$6,Obliczenia!$D$1&lt;=Baza!$AM$7,$D$1*Baza!$AN$7),OR(B2=Baza!A5,B2=Baza!A6,B2=Baza!A7),Baza!AN10,B2=Baza!A8,Baza!AQ16,AND(B2=Baza!A9,Kalkulator!D19=Baza!Z26),1500,AND(B2=Baza!A9,Kalkulator!D19=Baza!Z27),800,AND(B2=Baza!A10,Kalkulator!D19=Baza!Z26),800,AND(B2=Baza!A10,Kalkulator!D19=Baza!Z27),1500),0)</f>
        <v>800</v>
      </c>
      <c r="C20" s="52">
        <f t="shared" ref="C20:C21" si="2">B20</f>
        <v>800</v>
      </c>
      <c r="D20">
        <f>IF(OR(B2=Baza!A2,B2=Baza!A3,B2=Baza!A4),VLOOKUP($D$23,Baza!$Z$3:$AB$10,3,0),VLOOKUP($D$23,Baza!$Z$14:$AB$17,3,0))</f>
        <v>6012</v>
      </c>
      <c r="O20" t="b">
        <f>IF(B2=Baza!A9,VLOOKUP(Kalkulator!D20,Baza!O34:S41,5,FALSE))</f>
        <v>0</v>
      </c>
    </row>
    <row r="21" spans="1:15">
      <c r="A21" t="s">
        <v>26</v>
      </c>
      <c r="B21" s="13">
        <f>IF(OR(B2=Baza!A2,B2=Baza!A3,B2=Baza!A4,B2=Baza!A8),VLOOKUP(A21,Baza!$AO:$AP,2,0),Baza!AR3)</f>
        <v>1000</v>
      </c>
      <c r="C21" s="13">
        <f t="shared" si="2"/>
        <v>1000</v>
      </c>
    </row>
    <row r="22" spans="1:15">
      <c r="A22" t="s">
        <v>42</v>
      </c>
      <c r="B22" s="13" cm="1">
        <f t="array" ref="B22">IF(OR(B2=Baza!A2,B2=Baza!A3,B2=Baza!A4),VLOOKUP(A22,Baza!$AO:$AP,2,0),_xlfn.IFS(B2=Baza!A5,Baza!AQ16,B2=Baza!A6,Baza!AQ16,AND(B2=Baza!A9,Kalkulator!D19=Baza!Z26),500,AND(B2=Baza!A9,Kalkulator!D19=Baza!Z27),1500,AND(B2=Baza!A10,Kalkulator!D19=Baza!Z26),1500,AND(B2=Baza!A10,Kalkulator!D19=Baza!Z27),500))</f>
        <v>1500</v>
      </c>
      <c r="C22" s="13">
        <f>IFERROR(IF(SEARCH("magazyn",$B$2)&gt;0,B22,0),0)</f>
        <v>1500</v>
      </c>
    </row>
    <row r="23" spans="1:15">
      <c r="A23" t="s">
        <v>40</v>
      </c>
      <c r="B23" s="13">
        <f>VLOOKUP(A23,Baza!$AO:$AP,2,0)</f>
        <v>800</v>
      </c>
      <c r="C23" s="13">
        <f>IFERROR(IF(AND($D$1&gt;=6.5,SEARCH("pv",$B$2)&gt;0),B23,0),0)</f>
        <v>0</v>
      </c>
      <c r="D23" t="str">
        <f>Kalkulator!$D$17</f>
        <v>Bateria Deye 10,24kWh</v>
      </c>
    </row>
    <row r="24" spans="1:15">
      <c r="A24" t="s">
        <v>80</v>
      </c>
      <c r="B24" s="13" cm="1">
        <f t="array" ref="B24">IF(OR(B2=Baza!A2,B2=Baza!A3,B2=Baza!A4),VLOOKUP($D$23,Baza!$Z$3:$AB$10,3,0),IF(Obliczenia!D11=Baza!I21,VLOOKUP($D$23,Baza!$Z$14:$AB$17,3,0),_xlfn.IFS(OR(B2=Baza!A5,B2=Baza!A6),VLOOKUP($D$23,Baza!$Z$14:$AB$17,3,0),B2=Baza!A7,0,OR(B2=Baza!A9,B2=Baza!A10),VLOOKUP($D$23,Baza!$Z$14:$AB$17,3,0))))</f>
        <v>6012</v>
      </c>
      <c r="C24" s="13">
        <f>IFERROR(IF(SEARCH("magazyn",$B$2)&gt;0,B24,0),0)</f>
        <v>6012</v>
      </c>
      <c r="D24">
        <f>IFERROR(IF(SEARCH("magazyn",$B$2)&gt;0,VLOOKUP(Kalkulator!$D$17,Baza!$Z:$AB,2,0),0),0)</f>
        <v>10.24</v>
      </c>
      <c r="E24" t="str">
        <f>IF($D$24&lt;&gt;0,_xlfn.CONCAT($D$24," kwp"),"")</f>
        <v>10,24 kwp</v>
      </c>
      <c r="F24" t="str" cm="1">
        <f t="array" ref="F24">IF(OR(B2=Baza!A2,B2=Baza!A3,B2=Baza!A4),_xlfn.IFS(C24=Baza!AB4,"2,5",C24=Baza!AB5,"5",C24=Baza!AB6,"7,5",C24=Baza!AB7,"10",C24=Baza!AB8,"5",C24=Baza!AB9,"7,5",C24=Baza!AB10,"10"),IF(Obliczenia!D11=Baza!I21,_xlfn.IFS(C24=Baza!AB20,"2,5",C24=Baza!AB21,"5",C24=Baza!AB22,"7,5",C24=Baza!AB23,"10",C24=Baza!AB24,"5",C24=Baza!AB25,"7,5",C24=Baza!AB26,"10"),_xlfn.IFS(C24=Baza!AB14,"2,5",C24=Baza!AB15,"5",C24=Baza!AB16,"7,5",C24=Baza!AB17,"10",C24=Baza!AB18,"5",C24=Baza!AB19,"7,5",C24=Baza!AB20,"10")))</f>
        <v>5</v>
      </c>
      <c r="G24" t="str">
        <f>IFERROR(_xlfn.CONCAT($F$24," kw"),"")</f>
        <v>5 kw</v>
      </c>
      <c r="I24" cm="1">
        <f t="array" ref="I24">IF(Obliczenia!D11=Baza!I21,VLOOKUP($D$23,Baza!$Z$14:$AB$17,3,0),_xlfn.IFS(OR(B2=Baza!A5,B2=Baza!A6),VLOOKUP($D$23,Baza!$Z$14:$AB$17,3,0),B2=Baza!A7,0,OR(B2=Baza!A9,B2=Baza!A10),VLOOKUP($D$23,Baza!$Z$14:$AB$17,3,0)))</f>
        <v>6012</v>
      </c>
    </row>
    <row r="25" spans="1:15">
      <c r="A25" t="s">
        <v>63</v>
      </c>
      <c r="B25" s="13">
        <f>IF(OR(B2=Baza!A5,B2=Baza!A6,B2=Baza!A7,B2=Baza!A8,B2=Baza!A9,B2=Baza!A10),0,VLOOKUP(A25,Baza!$AO:$AP,2,0))</f>
        <v>0</v>
      </c>
      <c r="C25" s="13">
        <f t="shared" ref="C25" si="3">B25</f>
        <v>0</v>
      </c>
    </row>
    <row r="26" spans="1:15">
      <c r="A26" t="s">
        <v>160</v>
      </c>
      <c r="B26" s="13">
        <f>IF(Kalkulator!D33=Obliczenia!$H$2,Baza!AP14,0)</f>
        <v>0</v>
      </c>
      <c r="C26" s="13">
        <f>B26</f>
        <v>0</v>
      </c>
    </row>
    <row r="27" spans="1:15">
      <c r="A27" t="s">
        <v>184</v>
      </c>
      <c r="B27" s="13">
        <f>IFERROR(IF(SEARCH("Turbina",$B$2)&gt;0,Baza!AS3,0),0)</f>
        <v>10000</v>
      </c>
      <c r="C27" s="13">
        <f>IFERROR(IF(SEARCH("Turbina",$B$2)&gt;0,B27,0),0)</f>
        <v>10000</v>
      </c>
    </row>
    <row r="28" spans="1:15">
      <c r="A28" t="s">
        <v>185</v>
      </c>
      <c r="C28" s="13" cm="1">
        <f t="array" ref="C28">IF(OR(B2=Baza!A8,B2=Baza!A9,B2=Baza!A10),0,IF(OR(B2=Baza!A7),_xlfn.IFS(D1&lt;=5,D1*550,D1&lt;=10,D1*500,D1&lt;=20,D1*450,D1&lt;=51,D1*350),_xlfn.IFS(D1&lt;=5,D1*550,D1&lt;=10,D1*500,D1&lt;=20,D1*450,D1&lt;=30,D1*400,D1&lt;=51,D1*350)))</f>
        <v>1751.75</v>
      </c>
      <c r="E28" t="s">
        <v>242</v>
      </c>
      <c r="F28" t="s">
        <v>240</v>
      </c>
      <c r="H28" t="s">
        <v>241</v>
      </c>
    </row>
    <row r="29" spans="1:15">
      <c r="A29" t="s">
        <v>61</v>
      </c>
      <c r="C29" s="13" cm="1">
        <f t="array" ref="C29">_xlfn.IFS('Marża ER'!$C$110&gt;0,'Marża ER'!$C$110,'Marża ER'!$F$110&gt;0,'Marża ER'!$F$110,'Marża ER'!$I$110&gt;0,'Marża ER'!$I$110,'Marża ER'!$L$110&gt;0,'Marża ER'!$L$110,'Marża ER'!$O$110&gt;0,'Marża ER'!$O$110,'Marża ER'!$R$110&gt;0,IF(F1&lt;=2,IF(N5=3,'Marża ER'!R110,'Marża ER'!AG9-1700),'Marża ER'!AG9),'Marża ER'!$U$110&gt;0,'Marża ER'!$U$110,'Marża ER'!$W$110&gt;0,'Marża ER'!$W$110,'Marża ER'!$AA$110&gt;0,'Marża ER'!$AA$110,'Marża ER'!$AD$110&gt;0,'Marża ER'!$AD$110,'Marża ER'!$AG$110&gt;0,I30,'Marża ER'!$AJ$110&gt;0,'Marża ER'!$AJ$110)</f>
        <v>8072.1</v>
      </c>
      <c r="D29">
        <f>IF(F1&lt;=23,'Marża ER'!R110,H30)</f>
        <v>7203.885999999995</v>
      </c>
      <c r="E29">
        <f>PRODUCT(SUM(C3:C4,C7:C22,C25:C28,E6)+C24,30%)</f>
        <v>9803.8859999999986</v>
      </c>
    </row>
    <row r="30" spans="1:15">
      <c r="A30" t="s">
        <v>229</v>
      </c>
      <c r="C30" s="13" cm="1">
        <f t="array" ref="C30">_xlfn.IFS('Marża PE'!$C$111&gt;0,'Marża PE'!$C$111,'Marża PE'!$F$111&gt;0,'Marża PE'!$F$111,'Marża PE'!$I$111&gt;0,'Marża PE'!$I$111,'Marża PE'!$L$111,'Marża PE'!$L$111,'Marża PE'!$O$111,'Marża PE'!$O$111,'Marża PE'!$R$111,'Marża PE'!$R$111,'Marża PE'!$U$111,'Marża PE'!$U$111,'Marża PE'!$W$111,'Marża PE'!$W$111,'Marża PE'!$AA$111,'Marża PE'!$AA$111,'Marża PE'!$AD$111,'Marża PE'!$AD$111,'Marża PE'!$AG$111,'Marża PE'!$AG$111,'Marża PE'!$AI$111,'Marża PE'!$AI$111)</f>
        <v>13000</v>
      </c>
      <c r="D30" s="13" cm="1">
        <f t="array" ref="D30">_xlfn.IFS(K3=1,SUM(C3:C4,C7:C30,E6),K12=1,SUM(C30+E30))</f>
        <v>53040.165759999996</v>
      </c>
      <c r="E30" s="13" cm="1">
        <f t="array" ref="E30">_xlfn.IFS(K3=1,SUM(C3:C4,C7:C29,E6),OR(K8=1,K9=1,K10=1,K11=1),SUM(C3:C4,C7:C22,C24:C29,E6),AND(K7=1,N5=H6),IF(D23=Baza!Z14,SUM(C3:C4,C7:C12,C20:C22,C25:C28,E6)+C24+H30+SUM(C13:C19),SUM(C3:C4,C7:C12,C20:C22,C25:C28,E6)+Baza!AB14+H30+(VLOOKUP(D23,Baza!Z14:AB17,3,FALSE)-Baza!AB14)+SUM(C13:C19)),AND(K7=1,N5=H5),SUM(C3:C4,C7:C12,C20:C22,C24:C29,E6)+SUM(C13:C19))</f>
        <v>40040.165759999996</v>
      </c>
      <c r="F30" s="13">
        <f>E30-C29-C23</f>
        <v>31968.065759999998</v>
      </c>
      <c r="G30" s="13"/>
      <c r="H30" cm="1">
        <f t="array" ref="H30">_xlfn.IFS(K3=1,SUM(C3:C4,C7:C28,E6),K7=1,SUM(C3:C4,C10:C11,C20:C22,Baza!AB14,C25:C28,E6)*_xlfn.IFS(AND(B2=Baza!A6,Obliczenia!F1=8,N5=1),35%,D1&lt;=5,24.8%,D1&lt;=10.1,26.7%,D1&lt;=15.1,27%,D1&lt;=17.5,37%,D1&lt;=21.5,37.5%,D1&lt;=31,37.8%),K12=1,SUM(C3:C4,C10:C11,C20:C22,C24:C28,E6))</f>
        <v>7360.54576</v>
      </c>
      <c r="I30" cm="1">
        <f t="array" ref="I30">_xlfn.IFS(K3=1,SUM(C3:C4,C7:C28,E6),K12=1,SUM(C3:C4,C10:C11,C20:C22,C24:C28,E6)*35%)</f>
        <v>11437.866999999998</v>
      </c>
    </row>
    <row r="31" spans="1:15">
      <c r="D31" s="13">
        <f>D30-C23</f>
        <v>53040.165759999996</v>
      </c>
      <c r="E31" cm="1">
        <f t="array" ref="E31">_xlfn.IFS(K3=1,SUM(C3:C4,C7:C29,E6),K12=1,SUM(C3:C4,C7:C29,E6))</f>
        <v>40751.72</v>
      </c>
      <c r="H31" cm="1">
        <f t="array" ref="H31">_xlfn.IFS(F1&lt;=8,1700,F1&lt;=10,1500,F1&lt;=11,1200,F1&lt;=19,1000,F1&lt;=23,1500,F1&lt;=51,0)</f>
        <v>1700</v>
      </c>
    </row>
    <row r="33" spans="1:8">
      <c r="A33" t="s">
        <v>62</v>
      </c>
      <c r="B33" s="13" cm="1">
        <f t="array" ref="B33">IF(B2=Baza!A8,VLOOKUP(Kalkulator!$D$34,Baza!$B$2:$D$3,3,0),IF(OR(B2=Baza!A9,B2=Baza!A10),VLOOKUP(Kalkulator!$D$34,Baza!$B$2:$E$3,4,0),_xlfn.IFS(AND($D$1&lt;=51,Kalkulator!$D$16&lt;&gt;Baza!$F$4),VLOOKUP(Kalkulator!$D$34,Baza!$B$2:$C$3,2,0),AND(Obliczenia!$D$1&gt;31,Kalkulator!$D$16&lt;&gt;Baza!$F$4),VLOOKUP(Kalkulator!$D$34,Baza!B4:C7,2,0),AND(Kalkulator!$D$16=Baza!$F$4,Obliczenia!$D$1&lt;=20,Obliczenia!$C$22&gt;0),VLOOKUP(Kalkulator!$D$34,Baza!$B$2:$C$3,2,0),AND(Obliczenia!$D$1&lt;=10,Kalkulator!$D$16=Baza!$F$4,Obliczenia!$C$22=0),VLOOKUP(Kalkulator!$D$34,Baza!$B$2:$C$3,2,0),AND(Obliczenia!$D$1&gt;10,Kalkulator!$D$16=Baza!$F$4,Obliczenia!$C$22=0),VLOOKUP(Kalkulator!$D$34,Baza!$B$4:$C$7,2,0))))</f>
        <v>2000</v>
      </c>
      <c r="C33" s="13">
        <v>0</v>
      </c>
      <c r="D33" s="13" cm="1">
        <f t="array" ref="D33">IFERROR(IF(SEARCH("wiatr",$B$2)&gt;0,_xlfn.IFS(B2=Baza!A5,(B33*D1)+2000,B2=Baza!A6,(B33*D1)+2000,B2=Baza!A7,(B33*D1)+1000,B2=Baza!A8,B33,OR(B2=Baza!A9,B2=Baza!A10),B33),(B33*D1)),IF(SEARCH("magazyn",$B$2)&gt;0,(B33*D1)+1000,(B33*D1)))</f>
        <v>7370</v>
      </c>
      <c r="E33" t="b">
        <f>AND(Obliczenia!$D$1&gt;31,Kalkulator!$D$16&lt;&gt;Baza!$F$4)</f>
        <v>0</v>
      </c>
      <c r="F33">
        <f>VLOOKUP(Kalkulator!$D$34,Baza!B4:C7,2,0)</f>
        <v>1200</v>
      </c>
      <c r="G33" cm="1">
        <f t="array" ref="G33">_xlfn.IFS(AND($D$1&lt;=51,Kalkulator!$D$16&lt;&gt;Baza!$F$4),VLOOKUP(Kalkulator!$D$34,Baza!$B$2:$C$3,2,0),AND(Obliczenia!$D$1&gt;31,Kalkulator!$D$16&lt;&gt;Baza!$F$4),VLOOKUP(Kalkulator!$D$34,Baza!B4:C7,2,0),AND(Kalkulator!$D$16=Baza!$F$4,Obliczenia!$D$1&lt;=20,Obliczenia!$C$22&gt;0),VLOOKUP(Kalkulator!$D$34,Baza!$B$2:$C$3,2,0),AND(Obliczenia!$D$1&lt;=10,Kalkulator!$D$16=Baza!$F$4,Obliczenia!$C$22=0),VLOOKUP(Kalkulator!$D$34,Baza!$B$2:$C$3,2,0),AND(Obliczenia!$D$1&gt;10,Kalkulator!$D$16=Baza!$F$4,Obliczenia!$C$22=0),VLOOKUP(Kalkulator!$D$34,Baza!$B$4:$C$7,2,0))</f>
        <v>2000</v>
      </c>
    </row>
    <row r="35" spans="1:8">
      <c r="A35" t="s">
        <v>64</v>
      </c>
      <c r="B35" s="13">
        <f>Kalkulator!$D$41</f>
        <v>0</v>
      </c>
      <c r="C35" s="13">
        <f>IF(Kalkulator!D34=Baza!B2,B35,0)</f>
        <v>0</v>
      </c>
      <c r="D35" s="13" t="str">
        <f>IF(Kalkulator!D34=Baza!B2,"TAK","NIE")</f>
        <v>TAK</v>
      </c>
    </row>
    <row r="37" spans="1:8">
      <c r="D37">
        <v>3.1850000000000001</v>
      </c>
      <c r="E37">
        <v>1700</v>
      </c>
      <c r="H37">
        <f>IFERROR(VLOOKUP(D1,D37:E53,2,FALSE),0)</f>
        <v>1700</v>
      </c>
    </row>
    <row r="38" spans="1:8">
      <c r="D38">
        <v>3.64</v>
      </c>
      <c r="E38">
        <v>1700</v>
      </c>
    </row>
    <row r="39" spans="1:8">
      <c r="D39">
        <v>4.0949999999999998</v>
      </c>
      <c r="E39">
        <v>1500</v>
      </c>
    </row>
    <row r="40" spans="1:8">
      <c r="D40">
        <v>4.55</v>
      </c>
      <c r="E40">
        <v>1500</v>
      </c>
    </row>
    <row r="41" spans="1:8">
      <c r="D41">
        <v>5.0049999999999999</v>
      </c>
      <c r="E41">
        <v>1200</v>
      </c>
    </row>
    <row r="42" spans="1:8">
      <c r="D42">
        <v>5.46</v>
      </c>
      <c r="E42">
        <v>1000</v>
      </c>
    </row>
    <row r="43" spans="1:8">
      <c r="D43">
        <v>5.915</v>
      </c>
      <c r="E43">
        <v>1000</v>
      </c>
    </row>
    <row r="44" spans="1:8">
      <c r="D44">
        <v>6.37</v>
      </c>
      <c r="E44">
        <v>1000</v>
      </c>
    </row>
    <row r="45" spans="1:8">
      <c r="D45">
        <v>6.8250000000000002</v>
      </c>
      <c r="E45">
        <v>1000</v>
      </c>
    </row>
    <row r="46" spans="1:8">
      <c r="D46">
        <v>7.28</v>
      </c>
      <c r="E46">
        <v>1000</v>
      </c>
    </row>
    <row r="47" spans="1:8">
      <c r="D47">
        <v>7.7350000000000003</v>
      </c>
      <c r="E47">
        <v>1000</v>
      </c>
    </row>
    <row r="48" spans="1:8">
      <c r="D48">
        <v>8.19</v>
      </c>
      <c r="E48">
        <v>1000</v>
      </c>
    </row>
    <row r="49" spans="4:26">
      <c r="D49">
        <v>8.6449999999999996</v>
      </c>
      <c r="E49">
        <v>1000</v>
      </c>
    </row>
    <row r="50" spans="4:26">
      <c r="D50">
        <v>9.1</v>
      </c>
      <c r="E50">
        <v>1500</v>
      </c>
      <c r="Z50" s="51"/>
    </row>
    <row r="51" spans="4:26">
      <c r="D51">
        <v>9.5549999999999997</v>
      </c>
      <c r="E51">
        <v>1500</v>
      </c>
    </row>
    <row r="52" spans="4:26">
      <c r="D52">
        <v>10.01</v>
      </c>
      <c r="E52">
        <v>1500</v>
      </c>
    </row>
    <row r="53" spans="4:26">
      <c r="D53">
        <v>10.465</v>
      </c>
      <c r="E53">
        <v>1500</v>
      </c>
    </row>
    <row r="54" spans="4:26">
      <c r="D54">
        <v>10.92</v>
      </c>
      <c r="E54">
        <v>0</v>
      </c>
    </row>
    <row r="55" spans="4:26">
      <c r="D55">
        <v>11.375</v>
      </c>
      <c r="E55">
        <v>0</v>
      </c>
    </row>
    <row r="56" spans="4:26">
      <c r="D56">
        <v>11.83</v>
      </c>
      <c r="E56">
        <v>0</v>
      </c>
    </row>
    <row r="57" spans="4:26">
      <c r="D57">
        <v>12.285</v>
      </c>
      <c r="E57">
        <v>0</v>
      </c>
    </row>
    <row r="58" spans="4:26">
      <c r="D58">
        <v>12.74</v>
      </c>
      <c r="E58">
        <v>0</v>
      </c>
    </row>
    <row r="59" spans="4:26">
      <c r="D59">
        <v>13.195</v>
      </c>
      <c r="E59">
        <v>0</v>
      </c>
    </row>
    <row r="60" spans="4:26">
      <c r="D60">
        <v>13.65</v>
      </c>
      <c r="E60">
        <v>0</v>
      </c>
    </row>
    <row r="61" spans="4:26">
      <c r="D61">
        <v>14.105</v>
      </c>
      <c r="E61">
        <v>0</v>
      </c>
    </row>
    <row r="62" spans="4:26">
      <c r="D62">
        <v>14.56</v>
      </c>
      <c r="E62">
        <v>0</v>
      </c>
    </row>
    <row r="63" spans="4:26">
      <c r="D63">
        <v>15.015000000000001</v>
      </c>
      <c r="E63">
        <v>0</v>
      </c>
    </row>
    <row r="64" spans="4:26">
      <c r="D64">
        <v>15.47</v>
      </c>
      <c r="E64">
        <v>0</v>
      </c>
    </row>
    <row r="65" spans="4:5">
      <c r="D65">
        <v>15.925000000000001</v>
      </c>
      <c r="E65">
        <v>0</v>
      </c>
    </row>
    <row r="66" spans="4:5">
      <c r="D66">
        <v>16.38</v>
      </c>
      <c r="E66">
        <v>0</v>
      </c>
    </row>
    <row r="67" spans="4:5">
      <c r="D67">
        <v>16.835000000000001</v>
      </c>
      <c r="E67">
        <v>0</v>
      </c>
    </row>
    <row r="68" spans="4:5">
      <c r="D68">
        <v>17.29</v>
      </c>
      <c r="E68">
        <v>0</v>
      </c>
    </row>
    <row r="69" spans="4:5">
      <c r="D69">
        <v>17.745000000000001</v>
      </c>
      <c r="E69">
        <v>0</v>
      </c>
    </row>
    <row r="70" spans="4:5">
      <c r="D70">
        <v>18.2</v>
      </c>
      <c r="E70">
        <v>0</v>
      </c>
    </row>
    <row r="71" spans="4:5">
      <c r="D71">
        <v>18.655000000000001</v>
      </c>
      <c r="E71">
        <v>0</v>
      </c>
    </row>
    <row r="72" spans="4:5">
      <c r="D72">
        <v>19.11</v>
      </c>
      <c r="E72">
        <v>0</v>
      </c>
    </row>
    <row r="73" spans="4:5">
      <c r="D73">
        <v>19.565000000000001</v>
      </c>
      <c r="E73">
        <v>0</v>
      </c>
    </row>
    <row r="74" spans="4:5">
      <c r="D74">
        <v>20.02</v>
      </c>
      <c r="E74">
        <v>0</v>
      </c>
    </row>
    <row r="75" spans="4:5">
      <c r="D75">
        <v>20.475000000000001</v>
      </c>
      <c r="E75">
        <v>0</v>
      </c>
    </row>
    <row r="76" spans="4:5">
      <c r="D76">
        <v>20.93</v>
      </c>
      <c r="E76">
        <v>0</v>
      </c>
    </row>
    <row r="77" spans="4:5">
      <c r="D77">
        <v>21.385000000000002</v>
      </c>
      <c r="E77">
        <v>0</v>
      </c>
    </row>
    <row r="78" spans="4:5">
      <c r="D78">
        <v>21.84</v>
      </c>
      <c r="E78">
        <v>0</v>
      </c>
    </row>
    <row r="79" spans="4:5">
      <c r="D79">
        <v>22.295000000000002</v>
      </c>
      <c r="E79">
        <v>0</v>
      </c>
    </row>
    <row r="80" spans="4:5">
      <c r="D80">
        <v>22.75</v>
      </c>
      <c r="E80">
        <v>0</v>
      </c>
    </row>
    <row r="81" spans="4:5">
      <c r="D81">
        <v>23.205000000000002</v>
      </c>
      <c r="E81">
        <v>0</v>
      </c>
    </row>
    <row r="82" spans="4:5">
      <c r="D82">
        <v>23.66</v>
      </c>
      <c r="E82">
        <v>0</v>
      </c>
    </row>
    <row r="83" spans="4:5">
      <c r="D83">
        <v>24.115000000000002</v>
      </c>
      <c r="E83">
        <v>0</v>
      </c>
    </row>
    <row r="84" spans="4:5">
      <c r="D84">
        <v>24.57</v>
      </c>
      <c r="E84">
        <v>0</v>
      </c>
    </row>
    <row r="85" spans="4:5">
      <c r="D85">
        <v>25.025000000000002</v>
      </c>
      <c r="E85">
        <v>0</v>
      </c>
    </row>
    <row r="86" spans="4:5">
      <c r="D86">
        <v>25.48</v>
      </c>
      <c r="E86">
        <v>0</v>
      </c>
    </row>
    <row r="87" spans="4:5">
      <c r="D87">
        <v>25.935000000000002</v>
      </c>
      <c r="E87">
        <v>0</v>
      </c>
    </row>
    <row r="88" spans="4:5">
      <c r="D88">
        <v>26.39</v>
      </c>
      <c r="E88">
        <v>0</v>
      </c>
    </row>
    <row r="89" spans="4:5">
      <c r="D89">
        <v>26.845000000000002</v>
      </c>
      <c r="E89">
        <v>0</v>
      </c>
    </row>
    <row r="90" spans="4:5">
      <c r="D90">
        <v>27.3</v>
      </c>
      <c r="E90">
        <v>0</v>
      </c>
    </row>
    <row r="91" spans="4:5">
      <c r="D91">
        <v>27.755000000000003</v>
      </c>
      <c r="E91">
        <v>0</v>
      </c>
    </row>
    <row r="92" spans="4:5">
      <c r="D92">
        <v>28.21</v>
      </c>
      <c r="E92">
        <v>0</v>
      </c>
    </row>
    <row r="93" spans="4:5">
      <c r="D93">
        <v>28.665000000000003</v>
      </c>
      <c r="E93">
        <v>0</v>
      </c>
    </row>
    <row r="94" spans="4:5">
      <c r="D94">
        <v>29.12</v>
      </c>
      <c r="E94">
        <v>0</v>
      </c>
    </row>
    <row r="95" spans="4:5">
      <c r="D95">
        <v>29.574999999999999</v>
      </c>
      <c r="E95">
        <v>0</v>
      </c>
    </row>
    <row r="96" spans="4:5">
      <c r="D96">
        <v>30.03</v>
      </c>
      <c r="E96">
        <v>0</v>
      </c>
    </row>
  </sheetData>
  <sheetProtection algorithmName="SHA-512" hashValue="j7vq62Kh/z3Td5n+xf7QR+dZaz8/p8MMGBZeS3Feg3yf/mG3AU0td+vqtJaMsN4EoXFKC2xyXGxv1LVd1Xw7KQ==" saltValue="9Iw4uwCQ1jFEmAWLY8t0iA==" spinCount="100000" sheet="1" objects="1" scenarios="1"/>
  <conditionalFormatting sqref="A1:V4 A5:D5 F5:V5 A6:V36 A37:I37 K37:V37 A38:V100">
    <cfRule type="expression" dxfId="5" priority="1">
      <formula>$Z$50&lt;&gt;-1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2A414-548E-43E5-8ECD-F2E2BC83D951}">
  <sheetPr codeName="Arkusz6"/>
  <dimension ref="A1:AJ110"/>
  <sheetViews>
    <sheetView zoomScale="80" zoomScaleNormal="80" workbookViewId="0">
      <pane ySplit="1" topLeftCell="A49" activePane="bottomLeft" state="frozen"/>
      <selection pane="bottomLeft" activeCell="C58" sqref="C58"/>
    </sheetView>
  </sheetViews>
  <sheetFormatPr defaultRowHeight="14.4" outlineLevelCol="1"/>
  <cols>
    <col min="3" max="3" width="25.33203125" style="13" customWidth="1"/>
    <col min="4" max="5" width="8.88671875" customWidth="1" outlineLevel="1"/>
    <col min="6" max="6" width="23" style="13" customWidth="1" outlineLevel="1"/>
    <col min="7" max="8" width="8.88671875" customWidth="1" outlineLevel="1"/>
    <col min="9" max="9" width="27.6640625" style="13" customWidth="1" outlineLevel="1"/>
    <col min="10" max="10" width="9.109375"/>
    <col min="12" max="12" width="30.33203125" style="13" customWidth="1"/>
    <col min="15" max="15" width="24" style="13" customWidth="1"/>
    <col min="18" max="18" width="30.44140625" customWidth="1"/>
    <col min="21" max="21" width="30.44140625" customWidth="1"/>
    <col min="24" max="24" width="30.44140625" customWidth="1"/>
    <col min="27" max="27" width="30.44140625" customWidth="1"/>
    <col min="30" max="30" width="30.44140625" customWidth="1"/>
    <col min="33" max="33" width="30.44140625" customWidth="1"/>
    <col min="36" max="36" width="30.44140625" customWidth="1"/>
  </cols>
  <sheetData>
    <row r="1" spans="1:36">
      <c r="A1" s="75" t="s">
        <v>129</v>
      </c>
      <c r="B1" s="75"/>
      <c r="C1" s="75"/>
      <c r="D1" s="75" t="s">
        <v>85</v>
      </c>
      <c r="E1" s="75"/>
      <c r="F1" s="75"/>
      <c r="G1" s="75" t="s">
        <v>130</v>
      </c>
      <c r="H1" s="75"/>
      <c r="I1" s="75"/>
      <c r="J1" s="77" t="s">
        <v>131</v>
      </c>
      <c r="K1" s="77"/>
      <c r="L1" s="77"/>
      <c r="M1" s="75" t="s">
        <v>84</v>
      </c>
      <c r="N1" s="75"/>
      <c r="O1" s="75"/>
      <c r="P1" s="75" t="s">
        <v>234</v>
      </c>
      <c r="Q1" s="75"/>
      <c r="R1" s="75"/>
      <c r="S1" s="75" t="s">
        <v>235</v>
      </c>
      <c r="T1" s="75"/>
      <c r="U1" s="75"/>
      <c r="V1" s="75" t="s">
        <v>188</v>
      </c>
      <c r="W1" s="75"/>
      <c r="X1" s="75"/>
      <c r="Y1" s="75" t="s">
        <v>236</v>
      </c>
      <c r="Z1" s="75"/>
      <c r="AA1" s="75"/>
      <c r="AB1" s="75" t="s">
        <v>237</v>
      </c>
      <c r="AC1" s="75"/>
      <c r="AD1" s="75"/>
      <c r="AE1" s="75" t="s">
        <v>233</v>
      </c>
      <c r="AF1" s="75"/>
      <c r="AG1" s="75"/>
      <c r="AH1" s="75" t="s">
        <v>186</v>
      </c>
      <c r="AI1" s="75"/>
      <c r="AJ1" s="75"/>
    </row>
    <row r="2" spans="1:36">
      <c r="A2">
        <v>0</v>
      </c>
      <c r="B2">
        <v>3.5</v>
      </c>
      <c r="C2" s="13">
        <v>4000</v>
      </c>
      <c r="D2">
        <v>0</v>
      </c>
      <c r="E2">
        <v>3.6</v>
      </c>
      <c r="F2" s="13">
        <v>4000</v>
      </c>
      <c r="G2">
        <v>0</v>
      </c>
      <c r="H2">
        <v>3.01</v>
      </c>
      <c r="I2" s="13">
        <v>4500</v>
      </c>
      <c r="J2">
        <v>0</v>
      </c>
      <c r="K2">
        <v>3.15</v>
      </c>
      <c r="L2" s="13">
        <v>5000</v>
      </c>
      <c r="M2">
        <v>0</v>
      </c>
      <c r="N2">
        <v>3</v>
      </c>
      <c r="O2" s="13">
        <v>5000</v>
      </c>
      <c r="P2">
        <v>0</v>
      </c>
      <c r="Q2" s="42">
        <v>3.1850000000000001</v>
      </c>
      <c r="R2" s="13">
        <v>7203.885999999995</v>
      </c>
      <c r="S2">
        <v>0</v>
      </c>
      <c r="T2" s="42">
        <v>3.1850000000000001</v>
      </c>
      <c r="U2" s="13">
        <v>8300</v>
      </c>
      <c r="V2">
        <v>0</v>
      </c>
      <c r="W2" s="42">
        <v>3</v>
      </c>
      <c r="X2" s="13">
        <v>6500</v>
      </c>
      <c r="Y2">
        <v>0</v>
      </c>
      <c r="Z2" s="42">
        <v>3.1850000000000001</v>
      </c>
      <c r="AA2" s="13">
        <v>8300</v>
      </c>
      <c r="AB2">
        <v>0</v>
      </c>
      <c r="AC2" s="42">
        <v>3.1850000000000001</v>
      </c>
      <c r="AD2" s="13">
        <v>8300</v>
      </c>
      <c r="AE2">
        <v>0</v>
      </c>
      <c r="AF2">
        <v>0.45500000000000002</v>
      </c>
      <c r="AH2">
        <v>0</v>
      </c>
      <c r="AI2" s="42">
        <f t="shared" ref="AI2:AI15" si="0">SUM(AI1,0.455)</f>
        <v>0.45500000000000002</v>
      </c>
      <c r="AJ2" s="13">
        <v>9730.1414999999979</v>
      </c>
    </row>
    <row r="3" spans="1:36">
      <c r="A3">
        <v>3.51</v>
      </c>
      <c r="B3">
        <v>3.87</v>
      </c>
      <c r="C3" s="13">
        <v>4500</v>
      </c>
      <c r="D3">
        <v>3.61</v>
      </c>
      <c r="E3">
        <v>6.3</v>
      </c>
      <c r="F3" s="13">
        <v>4500</v>
      </c>
      <c r="G3">
        <v>3.0110000000000001</v>
      </c>
      <c r="H3">
        <v>3.87</v>
      </c>
      <c r="I3" s="13">
        <v>5500</v>
      </c>
      <c r="J3">
        <f t="shared" ref="J3:J10" si="1">K2+0.001</f>
        <v>3.1509999999999998</v>
      </c>
      <c r="K3">
        <v>3.6</v>
      </c>
      <c r="L3" s="13">
        <v>5500</v>
      </c>
      <c r="M3">
        <v>3.01</v>
      </c>
      <c r="N3">
        <v>3.9</v>
      </c>
      <c r="O3" s="13">
        <v>5500</v>
      </c>
      <c r="P3">
        <f t="shared" ref="P3:P61" si="2">Q2+0.001</f>
        <v>3.1859999999999999</v>
      </c>
      <c r="Q3">
        <v>3.64</v>
      </c>
      <c r="R3" s="13">
        <v>7488.4839999999967</v>
      </c>
      <c r="S3">
        <f t="shared" ref="S3:S61" si="3">T2+0.001</f>
        <v>3.1859999999999999</v>
      </c>
      <c r="T3">
        <v>3.64</v>
      </c>
      <c r="U3" s="13">
        <v>8300</v>
      </c>
      <c r="X3" s="13"/>
      <c r="Y3">
        <f t="shared" ref="Y3:Y15" si="4">Z2+0.001</f>
        <v>3.1859999999999999</v>
      </c>
      <c r="Z3">
        <v>3.64</v>
      </c>
      <c r="AA3" s="13">
        <v>8300</v>
      </c>
      <c r="AB3">
        <f t="shared" ref="AB3:AB15" si="5">AC2+0.001</f>
        <v>3.1859999999999999</v>
      </c>
      <c r="AC3">
        <v>3.64</v>
      </c>
      <c r="AD3" s="13">
        <v>8300</v>
      </c>
      <c r="AE3">
        <f t="shared" ref="AE3:AE7" si="6">AF2+0.001</f>
        <v>0.45600000000000002</v>
      </c>
      <c r="AF3">
        <v>0.91</v>
      </c>
      <c r="AH3">
        <f t="shared" ref="AH3:AH15" si="7">AI2+0.001</f>
        <v>0.45600000000000002</v>
      </c>
      <c r="AI3">
        <f t="shared" si="0"/>
        <v>0.91</v>
      </c>
      <c r="AJ3" s="13">
        <v>10015.175999999999</v>
      </c>
    </row>
    <row r="4" spans="1:36">
      <c r="A4">
        <v>3.871</v>
      </c>
      <c r="B4">
        <v>4.7300000000000004</v>
      </c>
      <c r="C4" s="13">
        <v>5000</v>
      </c>
      <c r="D4">
        <v>6.31</v>
      </c>
      <c r="E4">
        <v>9.9</v>
      </c>
      <c r="F4" s="13">
        <v>5000</v>
      </c>
      <c r="G4">
        <v>3.871</v>
      </c>
      <c r="H4">
        <v>4.3</v>
      </c>
      <c r="I4" s="13">
        <v>6000</v>
      </c>
      <c r="J4">
        <f t="shared" si="1"/>
        <v>3.601</v>
      </c>
      <c r="K4">
        <v>4.5</v>
      </c>
      <c r="L4" s="13">
        <v>6000</v>
      </c>
      <c r="M4">
        <v>3.9099999999999997</v>
      </c>
      <c r="N4">
        <v>4.5</v>
      </c>
      <c r="O4" s="13">
        <v>6000</v>
      </c>
      <c r="P4">
        <f t="shared" si="2"/>
        <v>3.641</v>
      </c>
      <c r="Q4">
        <v>4.0949999999999998</v>
      </c>
      <c r="R4" s="13">
        <v>7853.0819999999985</v>
      </c>
      <c r="S4">
        <f t="shared" si="3"/>
        <v>3.641</v>
      </c>
      <c r="T4">
        <v>4.0949999999999998</v>
      </c>
      <c r="U4" s="13">
        <v>8500</v>
      </c>
      <c r="X4" s="13"/>
      <c r="Y4">
        <f t="shared" si="4"/>
        <v>3.641</v>
      </c>
      <c r="Z4">
        <v>4.0949999999999998</v>
      </c>
      <c r="AA4" s="13">
        <v>8300</v>
      </c>
      <c r="AB4">
        <f t="shared" si="5"/>
        <v>3.641</v>
      </c>
      <c r="AC4">
        <v>4.0949999999999998</v>
      </c>
      <c r="AD4" s="13">
        <v>8300</v>
      </c>
      <c r="AE4">
        <f t="shared" si="6"/>
        <v>0.91100000000000003</v>
      </c>
      <c r="AF4">
        <v>1.365</v>
      </c>
      <c r="AH4">
        <f t="shared" si="7"/>
        <v>0.91100000000000003</v>
      </c>
      <c r="AI4">
        <f t="shared" si="0"/>
        <v>1.365</v>
      </c>
      <c r="AJ4" s="13">
        <v>10180.210500000001</v>
      </c>
    </row>
    <row r="5" spans="1:36">
      <c r="A5">
        <v>4.7309999999999999</v>
      </c>
      <c r="B5">
        <v>7.74</v>
      </c>
      <c r="C5" s="13">
        <v>6000</v>
      </c>
      <c r="D5">
        <v>9.91</v>
      </c>
      <c r="E5">
        <v>20.100000000000001</v>
      </c>
      <c r="F5" s="13">
        <v>7500</v>
      </c>
      <c r="G5">
        <v>4.3010000000000002</v>
      </c>
      <c r="H5">
        <v>6.88</v>
      </c>
      <c r="I5" s="13">
        <v>7000</v>
      </c>
      <c r="J5">
        <f t="shared" si="1"/>
        <v>4.5010000000000003</v>
      </c>
      <c r="K5">
        <v>6.3</v>
      </c>
      <c r="L5" s="13">
        <v>6500</v>
      </c>
      <c r="M5">
        <v>4.51</v>
      </c>
      <c r="N5">
        <v>7.2</v>
      </c>
      <c r="O5" s="13">
        <v>6500</v>
      </c>
      <c r="P5">
        <f t="shared" si="2"/>
        <v>4.0960000000000001</v>
      </c>
      <c r="Q5">
        <v>4.55</v>
      </c>
      <c r="R5" s="13">
        <v>8017.68</v>
      </c>
      <c r="S5">
        <f t="shared" si="3"/>
        <v>4.0960000000000001</v>
      </c>
      <c r="T5">
        <v>4.55</v>
      </c>
      <c r="U5" s="13">
        <v>8500</v>
      </c>
      <c r="X5" s="13"/>
      <c r="Y5">
        <f t="shared" si="4"/>
        <v>4.0960000000000001</v>
      </c>
      <c r="Z5">
        <v>4.55</v>
      </c>
      <c r="AA5" s="13">
        <v>8300</v>
      </c>
      <c r="AB5">
        <f t="shared" si="5"/>
        <v>4.0960000000000001</v>
      </c>
      <c r="AC5">
        <v>4.55</v>
      </c>
      <c r="AD5" s="13">
        <v>8300</v>
      </c>
      <c r="AE5">
        <f t="shared" si="6"/>
        <v>1.3659999999999999</v>
      </c>
      <c r="AF5">
        <v>1.82</v>
      </c>
      <c r="AG5" s="13"/>
      <c r="AH5">
        <f t="shared" si="7"/>
        <v>1.3659999999999999</v>
      </c>
      <c r="AI5">
        <f t="shared" si="0"/>
        <v>1.82</v>
      </c>
      <c r="AJ5" s="13">
        <v>10370.145000000004</v>
      </c>
    </row>
    <row r="6" spans="1:36">
      <c r="A6">
        <v>7.7409999999999997</v>
      </c>
      <c r="B6">
        <v>9.89</v>
      </c>
      <c r="C6" s="13">
        <v>8000</v>
      </c>
      <c r="D6">
        <v>20.110000000000003</v>
      </c>
      <c r="E6">
        <v>30</v>
      </c>
      <c r="F6" s="13">
        <v>10000</v>
      </c>
      <c r="G6">
        <v>6.8810000000000002</v>
      </c>
      <c r="H6">
        <v>9.0299999999999994</v>
      </c>
      <c r="I6" s="13">
        <v>9000</v>
      </c>
      <c r="J6">
        <f t="shared" si="1"/>
        <v>6.3010000000000002</v>
      </c>
      <c r="K6">
        <v>9</v>
      </c>
      <c r="L6" s="13">
        <v>7000</v>
      </c>
      <c r="M6">
        <v>7.21</v>
      </c>
      <c r="N6">
        <v>10.199999999999999</v>
      </c>
      <c r="O6" s="13">
        <v>7000</v>
      </c>
      <c r="P6">
        <f t="shared" si="2"/>
        <v>4.5510000000000002</v>
      </c>
      <c r="Q6">
        <v>5.0049999999999999</v>
      </c>
      <c r="R6" s="13">
        <v>8407.203000000005</v>
      </c>
      <c r="S6">
        <f t="shared" si="3"/>
        <v>4.5510000000000002</v>
      </c>
      <c r="T6">
        <v>5.0049999999999999</v>
      </c>
      <c r="U6" s="13">
        <v>9800.0000000000036</v>
      </c>
      <c r="X6" s="13"/>
      <c r="Y6">
        <f t="shared" si="4"/>
        <v>4.5510000000000002</v>
      </c>
      <c r="Z6">
        <v>5.0049999999999999</v>
      </c>
      <c r="AA6" s="13">
        <v>8300</v>
      </c>
      <c r="AB6">
        <f t="shared" si="5"/>
        <v>4.5510000000000002</v>
      </c>
      <c r="AC6">
        <v>5.0049999999999999</v>
      </c>
      <c r="AD6" s="13">
        <v>8300</v>
      </c>
      <c r="AE6">
        <f t="shared" si="6"/>
        <v>1.821</v>
      </c>
      <c r="AF6">
        <v>2.2749999999999999</v>
      </c>
      <c r="AG6" s="13"/>
      <c r="AH6">
        <f t="shared" si="7"/>
        <v>1.821</v>
      </c>
      <c r="AI6">
        <f t="shared" si="0"/>
        <v>2.2749999999999999</v>
      </c>
      <c r="AJ6" s="13">
        <v>10460.104500000001</v>
      </c>
    </row>
    <row r="7" spans="1:36">
      <c r="A7">
        <v>9.891</v>
      </c>
      <c r="B7">
        <v>12.47</v>
      </c>
      <c r="C7" s="13">
        <v>10000</v>
      </c>
      <c r="D7">
        <v>30.01</v>
      </c>
      <c r="E7">
        <v>39.9</v>
      </c>
      <c r="F7" s="13">
        <v>15000</v>
      </c>
      <c r="G7">
        <v>9.0310000000000006</v>
      </c>
      <c r="H7">
        <v>13.33</v>
      </c>
      <c r="I7" s="13">
        <v>11000</v>
      </c>
      <c r="J7">
        <f t="shared" si="1"/>
        <v>9.0009999999999994</v>
      </c>
      <c r="K7">
        <v>9.9</v>
      </c>
      <c r="L7" s="13">
        <v>6500</v>
      </c>
      <c r="M7">
        <v>10.209999999999999</v>
      </c>
      <c r="N7">
        <v>15</v>
      </c>
      <c r="O7" s="13">
        <v>7500</v>
      </c>
      <c r="P7">
        <f t="shared" si="2"/>
        <v>5.0060000000000002</v>
      </c>
      <c r="Q7">
        <v>5.46</v>
      </c>
      <c r="R7" s="13">
        <v>8764.9759999999951</v>
      </c>
      <c r="S7">
        <f t="shared" si="3"/>
        <v>5.0060000000000002</v>
      </c>
      <c r="T7">
        <v>5.46</v>
      </c>
      <c r="U7" s="13">
        <v>10000</v>
      </c>
      <c r="X7" s="13"/>
      <c r="Y7">
        <f t="shared" si="4"/>
        <v>5.0060000000000002</v>
      </c>
      <c r="Z7">
        <v>5.46</v>
      </c>
      <c r="AA7" s="13">
        <v>8300</v>
      </c>
      <c r="AB7">
        <f t="shared" si="5"/>
        <v>5.0060000000000002</v>
      </c>
      <c r="AC7">
        <v>5.46</v>
      </c>
      <c r="AD7" s="13">
        <v>8300</v>
      </c>
      <c r="AE7">
        <f t="shared" si="6"/>
        <v>2.2759999999999998</v>
      </c>
      <c r="AF7">
        <v>2.73</v>
      </c>
      <c r="AH7">
        <f t="shared" si="7"/>
        <v>2.2759999999999998</v>
      </c>
      <c r="AI7">
        <f t="shared" si="0"/>
        <v>2.73</v>
      </c>
      <c r="AJ7" s="13">
        <v>10618.313999999998</v>
      </c>
    </row>
    <row r="8" spans="1:36">
      <c r="A8">
        <v>12.471</v>
      </c>
      <c r="B8">
        <v>15.05</v>
      </c>
      <c r="C8" s="13">
        <v>12000</v>
      </c>
      <c r="D8">
        <v>39.909999999999997</v>
      </c>
      <c r="E8">
        <v>50</v>
      </c>
      <c r="F8" s="13">
        <v>17500</v>
      </c>
      <c r="G8">
        <v>13.331</v>
      </c>
      <c r="H8">
        <v>20</v>
      </c>
      <c r="I8" s="13">
        <v>14000</v>
      </c>
      <c r="J8">
        <f t="shared" si="1"/>
        <v>9.9009999999999998</v>
      </c>
      <c r="K8">
        <v>13.95</v>
      </c>
      <c r="L8" s="13">
        <v>7500</v>
      </c>
      <c r="M8">
        <v>15.01</v>
      </c>
      <c r="N8">
        <v>20</v>
      </c>
      <c r="O8" s="13">
        <v>8000</v>
      </c>
      <c r="P8">
        <f t="shared" si="2"/>
        <v>5.4610000000000003</v>
      </c>
      <c r="Q8">
        <v>5.915</v>
      </c>
      <c r="R8" s="13">
        <v>8922.7489999999962</v>
      </c>
      <c r="S8">
        <f t="shared" si="3"/>
        <v>5.4610000000000003</v>
      </c>
      <c r="T8">
        <v>5.915</v>
      </c>
      <c r="U8" s="13">
        <v>11000</v>
      </c>
      <c r="X8" s="13"/>
      <c r="Y8">
        <f t="shared" si="4"/>
        <v>5.4610000000000003</v>
      </c>
      <c r="Z8">
        <v>5.915</v>
      </c>
      <c r="AA8" s="13">
        <v>8300</v>
      </c>
      <c r="AB8">
        <f t="shared" si="5"/>
        <v>5.4610000000000003</v>
      </c>
      <c r="AC8">
        <v>5.915</v>
      </c>
      <c r="AD8" s="13">
        <v>8300</v>
      </c>
      <c r="AE8">
        <f>AF6+0.001</f>
        <v>2.2759999999999998</v>
      </c>
      <c r="AF8" s="42">
        <v>3.1850000000000001</v>
      </c>
      <c r="AG8" s="13"/>
      <c r="AH8">
        <f t="shared" si="7"/>
        <v>2.7309999999999999</v>
      </c>
      <c r="AI8">
        <f t="shared" si="0"/>
        <v>3.1850000000000001</v>
      </c>
      <c r="AJ8" s="13">
        <v>10776.523500000003</v>
      </c>
    </row>
    <row r="9" spans="1:36">
      <c r="A9">
        <v>15.051</v>
      </c>
      <c r="B9">
        <v>24.94</v>
      </c>
      <c r="C9" s="13">
        <v>15000</v>
      </c>
      <c r="J9">
        <f t="shared" si="1"/>
        <v>13.950999999999999</v>
      </c>
      <c r="K9">
        <v>19.350000000000001</v>
      </c>
      <c r="L9" s="13">
        <v>8500</v>
      </c>
      <c r="P9">
        <f t="shared" si="2"/>
        <v>5.9160000000000004</v>
      </c>
      <c r="Q9">
        <v>6.37</v>
      </c>
      <c r="R9" s="13">
        <v>9080.5219999999972</v>
      </c>
      <c r="S9">
        <f t="shared" si="3"/>
        <v>5.9160000000000004</v>
      </c>
      <c r="T9">
        <v>6.37</v>
      </c>
      <c r="U9" s="13">
        <v>10999.999999999996</v>
      </c>
      <c r="X9" s="13"/>
      <c r="Y9">
        <f t="shared" si="4"/>
        <v>5.9160000000000004</v>
      </c>
      <c r="Z9">
        <v>6.37</v>
      </c>
      <c r="AA9" s="13">
        <v>8300</v>
      </c>
      <c r="AB9">
        <f t="shared" si="5"/>
        <v>5.9160000000000004</v>
      </c>
      <c r="AC9">
        <v>6.37</v>
      </c>
      <c r="AD9" s="13">
        <v>8300</v>
      </c>
      <c r="AE9">
        <f>AF8+0.001</f>
        <v>3.1859999999999999</v>
      </c>
      <c r="AF9">
        <v>3.64</v>
      </c>
      <c r="AG9" s="13">
        <v>8072.1</v>
      </c>
      <c r="AH9">
        <f t="shared" si="7"/>
        <v>3.1859999999999999</v>
      </c>
      <c r="AI9">
        <f t="shared" si="0"/>
        <v>3.64</v>
      </c>
      <c r="AJ9" s="13">
        <v>10934.733</v>
      </c>
    </row>
    <row r="10" spans="1:36">
      <c r="A10">
        <v>24.940999999999999</v>
      </c>
      <c r="B10">
        <v>30.1</v>
      </c>
      <c r="C10" s="13">
        <v>17000</v>
      </c>
      <c r="J10">
        <f t="shared" si="1"/>
        <v>19.351000000000003</v>
      </c>
      <c r="K10">
        <v>19.8</v>
      </c>
      <c r="L10" s="13">
        <v>8000</v>
      </c>
      <c r="P10">
        <f t="shared" si="2"/>
        <v>6.3710000000000004</v>
      </c>
      <c r="Q10">
        <v>6.8250000000000002</v>
      </c>
      <c r="R10" s="13">
        <v>8474.5950000000012</v>
      </c>
      <c r="S10">
        <f t="shared" si="3"/>
        <v>6.3710000000000004</v>
      </c>
      <c r="T10">
        <v>6.8250000000000002</v>
      </c>
      <c r="U10" s="13">
        <v>11000</v>
      </c>
      <c r="X10" s="13"/>
      <c r="Y10">
        <f t="shared" si="4"/>
        <v>6.3710000000000004</v>
      </c>
      <c r="Z10">
        <v>6.8250000000000002</v>
      </c>
      <c r="AA10" s="13">
        <v>8300</v>
      </c>
      <c r="AB10">
        <f t="shared" si="5"/>
        <v>6.3710000000000004</v>
      </c>
      <c r="AC10">
        <v>6.8250000000000002</v>
      </c>
      <c r="AD10" s="13">
        <v>8300</v>
      </c>
      <c r="AE10">
        <f>AF9+0.001</f>
        <v>3.641</v>
      </c>
      <c r="AF10">
        <v>4.0949999999999998</v>
      </c>
      <c r="AG10" s="13"/>
      <c r="AH10">
        <f t="shared" si="7"/>
        <v>3.641</v>
      </c>
      <c r="AI10">
        <f t="shared" si="0"/>
        <v>4.0949999999999998</v>
      </c>
      <c r="AJ10" s="13">
        <v>11113.642500000002</v>
      </c>
    </row>
    <row r="11" spans="1:36">
      <c r="A11">
        <v>30.100999999999999</v>
      </c>
      <c r="B11">
        <v>39.99</v>
      </c>
      <c r="C11" s="13">
        <v>19000</v>
      </c>
      <c r="P11">
        <f t="shared" si="2"/>
        <v>6.8260000000000005</v>
      </c>
      <c r="Q11">
        <v>7.28</v>
      </c>
      <c r="R11" s="13">
        <v>8752.3680000000022</v>
      </c>
      <c r="S11">
        <f t="shared" si="3"/>
        <v>6.8260000000000005</v>
      </c>
      <c r="T11">
        <v>7.28</v>
      </c>
      <c r="U11" s="13">
        <v>10999.999999999996</v>
      </c>
      <c r="Y11">
        <f t="shared" si="4"/>
        <v>6.8260000000000005</v>
      </c>
      <c r="Z11">
        <v>7.28</v>
      </c>
      <c r="AA11" s="13">
        <v>8300</v>
      </c>
      <c r="AB11">
        <f t="shared" si="5"/>
        <v>6.8260000000000005</v>
      </c>
      <c r="AC11">
        <v>7.28</v>
      </c>
      <c r="AD11" s="13">
        <v>8300</v>
      </c>
      <c r="AG11" s="13"/>
      <c r="AH11">
        <f t="shared" si="7"/>
        <v>4.0960000000000001</v>
      </c>
      <c r="AI11">
        <f t="shared" si="0"/>
        <v>4.55</v>
      </c>
      <c r="AJ11">
        <v>11451.851999999999</v>
      </c>
    </row>
    <row r="12" spans="1:36">
      <c r="A12">
        <v>40</v>
      </c>
      <c r="B12">
        <v>50</v>
      </c>
      <c r="C12" s="13">
        <v>25000</v>
      </c>
      <c r="P12">
        <f t="shared" si="2"/>
        <v>7.2810000000000006</v>
      </c>
      <c r="Q12">
        <v>7.7350000000000003</v>
      </c>
      <c r="R12" s="13">
        <v>8910.1410000000033</v>
      </c>
      <c r="S12">
        <f t="shared" si="3"/>
        <v>7.2810000000000006</v>
      </c>
      <c r="T12">
        <v>7.7350000000000003</v>
      </c>
      <c r="U12" s="13">
        <v>11000</v>
      </c>
      <c r="Y12">
        <f t="shared" si="4"/>
        <v>7.2810000000000006</v>
      </c>
      <c r="Z12">
        <v>7.7350000000000003</v>
      </c>
      <c r="AA12" s="13">
        <v>8300</v>
      </c>
      <c r="AB12">
        <f t="shared" si="5"/>
        <v>7.2810000000000006</v>
      </c>
      <c r="AC12">
        <v>7.7350000000000003</v>
      </c>
      <c r="AD12" s="13">
        <v>8300</v>
      </c>
      <c r="AG12" s="13"/>
      <c r="AH12">
        <f t="shared" si="7"/>
        <v>4.5510000000000002</v>
      </c>
      <c r="AI12">
        <f t="shared" si="0"/>
        <v>5.0049999999999999</v>
      </c>
      <c r="AJ12">
        <v>11610.061500000003</v>
      </c>
    </row>
    <row r="13" spans="1:36">
      <c r="P13">
        <f t="shared" si="2"/>
        <v>7.7360000000000007</v>
      </c>
      <c r="Q13">
        <v>8.19</v>
      </c>
      <c r="R13" s="13">
        <v>9067.913999999997</v>
      </c>
      <c r="S13">
        <f t="shared" si="3"/>
        <v>7.7360000000000007</v>
      </c>
      <c r="T13">
        <v>8.19</v>
      </c>
      <c r="U13" s="13">
        <v>10999.999999999996</v>
      </c>
      <c r="Y13">
        <f t="shared" si="4"/>
        <v>7.7360000000000007</v>
      </c>
      <c r="Z13">
        <v>8.19</v>
      </c>
      <c r="AA13" s="13">
        <v>8300</v>
      </c>
      <c r="AB13">
        <f t="shared" si="5"/>
        <v>7.7360000000000007</v>
      </c>
      <c r="AC13">
        <v>8.19</v>
      </c>
      <c r="AD13" s="13">
        <v>8300</v>
      </c>
      <c r="AG13" s="13"/>
      <c r="AH13">
        <f t="shared" si="7"/>
        <v>5.0060000000000002</v>
      </c>
      <c r="AI13">
        <f t="shared" si="0"/>
        <v>5.46</v>
      </c>
      <c r="AJ13">
        <v>11768.271000000001</v>
      </c>
    </row>
    <row r="14" spans="1:36">
      <c r="P14">
        <f t="shared" si="2"/>
        <v>8.1909999999999989</v>
      </c>
      <c r="Q14">
        <v>8.6449999999999996</v>
      </c>
      <c r="R14" s="13">
        <v>9323.487000000001</v>
      </c>
      <c r="S14">
        <f t="shared" si="3"/>
        <v>8.1909999999999989</v>
      </c>
      <c r="T14">
        <v>8.6449999999999996</v>
      </c>
      <c r="U14" s="13">
        <v>10500</v>
      </c>
      <c r="Y14">
        <f t="shared" si="4"/>
        <v>8.1909999999999989</v>
      </c>
      <c r="Z14">
        <v>8.6449999999999996</v>
      </c>
      <c r="AA14" s="13">
        <v>8300</v>
      </c>
      <c r="AB14">
        <f t="shared" si="5"/>
        <v>8.1909999999999989</v>
      </c>
      <c r="AC14">
        <v>8.6449999999999996</v>
      </c>
      <c r="AD14" s="13">
        <v>8300</v>
      </c>
      <c r="AG14" s="13"/>
      <c r="AH14">
        <f t="shared" si="7"/>
        <v>5.4610000000000003</v>
      </c>
      <c r="AI14">
        <f t="shared" si="0"/>
        <v>5.915</v>
      </c>
      <c r="AJ14">
        <v>11926.480499999998</v>
      </c>
    </row>
    <row r="15" spans="1:36">
      <c r="P15">
        <f t="shared" si="2"/>
        <v>8.645999999999999</v>
      </c>
      <c r="Q15">
        <v>9.1</v>
      </c>
      <c r="R15" s="13">
        <v>8981.2599999999948</v>
      </c>
      <c r="S15">
        <f t="shared" si="3"/>
        <v>8.645999999999999</v>
      </c>
      <c r="T15">
        <v>9.1</v>
      </c>
      <c r="U15" s="13">
        <v>10499.999999999996</v>
      </c>
      <c r="Y15">
        <f t="shared" si="4"/>
        <v>8.645999999999999</v>
      </c>
      <c r="Z15">
        <v>9.1</v>
      </c>
      <c r="AA15" s="13">
        <v>8300</v>
      </c>
      <c r="AB15">
        <f t="shared" si="5"/>
        <v>8.645999999999999</v>
      </c>
      <c r="AC15">
        <v>9.1</v>
      </c>
      <c r="AD15" s="13">
        <v>8300</v>
      </c>
      <c r="AG15" s="13"/>
      <c r="AH15">
        <f t="shared" si="7"/>
        <v>5.9160000000000004</v>
      </c>
      <c r="AI15">
        <f t="shared" si="0"/>
        <v>6.37</v>
      </c>
      <c r="AJ15">
        <v>14098.805000000008</v>
      </c>
    </row>
    <row r="16" spans="1:36">
      <c r="P16">
        <f t="shared" si="2"/>
        <v>9.1009999999999991</v>
      </c>
      <c r="Q16">
        <v>9.5549999999999997</v>
      </c>
      <c r="R16" s="13">
        <v>9139.0329999999958</v>
      </c>
      <c r="S16">
        <f t="shared" si="3"/>
        <v>9.1009999999999991</v>
      </c>
      <c r="T16">
        <v>9.5549999999999997</v>
      </c>
      <c r="U16" s="13">
        <v>10500</v>
      </c>
      <c r="Z16">
        <v>9.5549999999999997</v>
      </c>
      <c r="AA16" s="13">
        <v>8300</v>
      </c>
      <c r="AC16">
        <v>9.5549999999999997</v>
      </c>
      <c r="AD16" s="13">
        <v>8300</v>
      </c>
      <c r="AG16" s="13"/>
    </row>
    <row r="17" spans="16:33">
      <c r="P17">
        <f t="shared" si="2"/>
        <v>9.5559999999999992</v>
      </c>
      <c r="Q17">
        <v>10.01</v>
      </c>
      <c r="R17" s="13">
        <v>9206.65600000001</v>
      </c>
      <c r="S17">
        <f t="shared" si="3"/>
        <v>9.5559999999999992</v>
      </c>
      <c r="T17">
        <v>10.01</v>
      </c>
      <c r="U17" s="13">
        <v>10500.000000000004</v>
      </c>
      <c r="Z17">
        <v>10.01</v>
      </c>
      <c r="AA17" s="13">
        <v>8300</v>
      </c>
      <c r="AC17">
        <v>10.01</v>
      </c>
      <c r="AD17" s="13">
        <v>8300</v>
      </c>
      <c r="AG17" s="13"/>
    </row>
    <row r="18" spans="16:33">
      <c r="P18">
        <f t="shared" si="2"/>
        <v>10.010999999999999</v>
      </c>
      <c r="Q18">
        <v>10.465</v>
      </c>
      <c r="R18" s="13">
        <v>9357.6039999999994</v>
      </c>
      <c r="S18">
        <f t="shared" si="3"/>
        <v>10.010999999999999</v>
      </c>
      <c r="T18">
        <v>10.465</v>
      </c>
      <c r="U18" s="13">
        <v>11500</v>
      </c>
      <c r="Z18">
        <v>10.465</v>
      </c>
      <c r="AA18" s="13">
        <v>8300</v>
      </c>
      <c r="AC18">
        <v>10.465</v>
      </c>
      <c r="AD18" s="13">
        <v>8300</v>
      </c>
      <c r="AG18" s="13"/>
    </row>
    <row r="19" spans="16:33">
      <c r="P19">
        <f t="shared" si="2"/>
        <v>10.465999999999999</v>
      </c>
      <c r="Q19">
        <v>10.92</v>
      </c>
      <c r="R19" s="13">
        <v>11046.351999999999</v>
      </c>
      <c r="S19">
        <f t="shared" si="3"/>
        <v>10.465999999999999</v>
      </c>
      <c r="T19">
        <v>10.92</v>
      </c>
      <c r="U19" s="13">
        <v>11499.999999999996</v>
      </c>
      <c r="Z19">
        <v>10.92</v>
      </c>
      <c r="AA19" s="13">
        <v>8300</v>
      </c>
      <c r="AC19">
        <v>10.92</v>
      </c>
      <c r="AD19" s="13">
        <v>8300</v>
      </c>
      <c r="AG19" s="13"/>
    </row>
    <row r="20" spans="16:33">
      <c r="P20">
        <f t="shared" si="2"/>
        <v>10.920999999999999</v>
      </c>
      <c r="Q20">
        <v>11.375</v>
      </c>
      <c r="R20" s="13">
        <v>11197.300000000003</v>
      </c>
      <c r="S20">
        <f t="shared" si="3"/>
        <v>10.920999999999999</v>
      </c>
      <c r="T20">
        <v>11.375</v>
      </c>
      <c r="U20" s="13">
        <v>11500</v>
      </c>
      <c r="Z20">
        <v>11.375</v>
      </c>
      <c r="AA20" s="13">
        <v>8300</v>
      </c>
      <c r="AC20">
        <v>11.375</v>
      </c>
      <c r="AD20" s="13">
        <v>8300</v>
      </c>
      <c r="AG20" s="13"/>
    </row>
    <row r="21" spans="16:33">
      <c r="P21">
        <f t="shared" si="2"/>
        <v>11.375999999999999</v>
      </c>
      <c r="Q21">
        <v>11.83</v>
      </c>
      <c r="R21" s="13">
        <v>11348.248</v>
      </c>
      <c r="S21">
        <f t="shared" si="3"/>
        <v>11.375999999999999</v>
      </c>
      <c r="T21">
        <v>11.83</v>
      </c>
      <c r="U21" s="13">
        <v>11500.000000000004</v>
      </c>
      <c r="Z21">
        <v>11.83</v>
      </c>
      <c r="AA21" s="13">
        <v>8300</v>
      </c>
      <c r="AC21">
        <v>11.83</v>
      </c>
      <c r="AD21" s="13">
        <v>8300</v>
      </c>
      <c r="AG21" s="13"/>
    </row>
    <row r="22" spans="16:33">
      <c r="P22">
        <f t="shared" si="2"/>
        <v>11.831</v>
      </c>
      <c r="Q22">
        <v>12.285</v>
      </c>
      <c r="R22" s="13">
        <v>11499.196000000004</v>
      </c>
      <c r="S22">
        <f t="shared" si="3"/>
        <v>11.831</v>
      </c>
      <c r="T22">
        <v>12.285</v>
      </c>
      <c r="U22" s="13">
        <v>12500</v>
      </c>
      <c r="Z22">
        <v>12.285</v>
      </c>
      <c r="AA22" s="13">
        <v>8300</v>
      </c>
      <c r="AC22">
        <v>12.285</v>
      </c>
      <c r="AD22" s="13">
        <v>8300</v>
      </c>
      <c r="AG22" s="13"/>
    </row>
    <row r="23" spans="16:33">
      <c r="P23">
        <f t="shared" si="2"/>
        <v>12.286</v>
      </c>
      <c r="Q23">
        <v>12.74</v>
      </c>
      <c r="R23" s="13">
        <v>11650.143999999993</v>
      </c>
      <c r="S23">
        <f t="shared" si="3"/>
        <v>12.286</v>
      </c>
      <c r="T23">
        <v>12.74</v>
      </c>
      <c r="U23" s="13">
        <v>12499.999999999996</v>
      </c>
      <c r="Z23">
        <v>12.74</v>
      </c>
      <c r="AA23" s="13">
        <v>8300</v>
      </c>
      <c r="AC23">
        <v>12.74</v>
      </c>
      <c r="AD23" s="13">
        <v>8300</v>
      </c>
      <c r="AG23" s="13"/>
    </row>
    <row r="24" spans="16:33">
      <c r="P24">
        <f t="shared" si="2"/>
        <v>12.741</v>
      </c>
      <c r="Q24">
        <v>13.195</v>
      </c>
      <c r="R24" s="13">
        <v>11836.792000000001</v>
      </c>
      <c r="S24">
        <f t="shared" si="3"/>
        <v>12.741</v>
      </c>
      <c r="T24">
        <v>13.195</v>
      </c>
      <c r="U24" s="13">
        <v>12500</v>
      </c>
      <c r="Z24">
        <v>13.195</v>
      </c>
      <c r="AA24" s="13">
        <v>8300</v>
      </c>
      <c r="AC24">
        <v>13.195</v>
      </c>
      <c r="AD24" s="13">
        <v>8300</v>
      </c>
      <c r="AG24" s="13"/>
    </row>
    <row r="25" spans="16:33">
      <c r="P25">
        <f t="shared" si="2"/>
        <v>13.196</v>
      </c>
      <c r="Q25">
        <v>13.65</v>
      </c>
      <c r="R25" s="13">
        <v>11987.739999999998</v>
      </c>
      <c r="S25">
        <f t="shared" si="3"/>
        <v>13.196</v>
      </c>
      <c r="T25">
        <v>13.65</v>
      </c>
      <c r="U25" s="13">
        <v>12500.000000000004</v>
      </c>
      <c r="Z25">
        <v>13.65</v>
      </c>
      <c r="AA25" s="13">
        <v>8300</v>
      </c>
      <c r="AC25">
        <v>13.65</v>
      </c>
      <c r="AD25" s="13">
        <v>8300</v>
      </c>
      <c r="AG25" s="13"/>
    </row>
    <row r="26" spans="16:33">
      <c r="P26">
        <f t="shared" si="2"/>
        <v>13.651</v>
      </c>
      <c r="Q26">
        <v>14.105</v>
      </c>
      <c r="R26" s="13">
        <v>12138.688000000002</v>
      </c>
      <c r="S26">
        <f t="shared" si="3"/>
        <v>13.651</v>
      </c>
      <c r="T26">
        <v>14.105</v>
      </c>
      <c r="U26" s="13">
        <v>12500</v>
      </c>
      <c r="Z26">
        <v>14.105</v>
      </c>
      <c r="AA26" s="13">
        <v>8300</v>
      </c>
      <c r="AC26">
        <v>14.105</v>
      </c>
      <c r="AD26" s="13">
        <v>8300</v>
      </c>
      <c r="AG26" s="13"/>
    </row>
    <row r="27" spans="16:33">
      <c r="P27">
        <f t="shared" si="2"/>
        <v>14.106</v>
      </c>
      <c r="Q27">
        <v>14.56</v>
      </c>
      <c r="R27" s="13">
        <v>12289.635999999999</v>
      </c>
      <c r="S27">
        <f t="shared" si="3"/>
        <v>14.106</v>
      </c>
      <c r="T27">
        <v>14.56</v>
      </c>
      <c r="U27" s="13">
        <v>12500.000000000004</v>
      </c>
      <c r="Z27">
        <v>14.56</v>
      </c>
      <c r="AA27" s="13">
        <v>8300</v>
      </c>
      <c r="AC27">
        <v>14.56</v>
      </c>
      <c r="AD27" s="13">
        <v>8300</v>
      </c>
      <c r="AG27" s="13"/>
    </row>
    <row r="28" spans="16:33">
      <c r="P28">
        <f t="shared" si="2"/>
        <v>14.561</v>
      </c>
      <c r="Q28">
        <v>15.015000000000001</v>
      </c>
      <c r="R28" s="13">
        <v>16854.112000000001</v>
      </c>
      <c r="S28">
        <f t="shared" si="3"/>
        <v>14.561</v>
      </c>
      <c r="T28">
        <v>15.015000000000001</v>
      </c>
      <c r="U28" s="13">
        <v>12500</v>
      </c>
      <c r="Z28">
        <v>15.015000000000001</v>
      </c>
      <c r="AA28" s="13">
        <v>8300</v>
      </c>
      <c r="AC28">
        <v>15.015000000000001</v>
      </c>
      <c r="AD28" s="13">
        <v>8300</v>
      </c>
      <c r="AG28" s="13"/>
    </row>
    <row r="29" spans="16:33">
      <c r="P29">
        <f t="shared" si="2"/>
        <v>15.016</v>
      </c>
      <c r="Q29">
        <v>15.47</v>
      </c>
      <c r="R29" s="13">
        <v>17055.376000000004</v>
      </c>
      <c r="S29">
        <f t="shared" si="3"/>
        <v>15.016</v>
      </c>
      <c r="T29">
        <v>15.47</v>
      </c>
      <c r="U29" s="13">
        <v>12500</v>
      </c>
      <c r="Z29">
        <v>15.47</v>
      </c>
      <c r="AA29" s="13">
        <v>8300</v>
      </c>
      <c r="AC29">
        <v>15.47</v>
      </c>
      <c r="AD29" s="13">
        <v>8300</v>
      </c>
      <c r="AG29" s="13"/>
    </row>
    <row r="30" spans="16:33">
      <c r="P30">
        <f t="shared" si="2"/>
        <v>15.471</v>
      </c>
      <c r="Q30">
        <v>15.925000000000001</v>
      </c>
      <c r="R30" s="13">
        <v>17829.04</v>
      </c>
      <c r="S30">
        <f t="shared" si="3"/>
        <v>15.471</v>
      </c>
      <c r="T30">
        <v>15.925000000000001</v>
      </c>
      <c r="U30" s="13">
        <v>12500</v>
      </c>
      <c r="Z30">
        <v>15.925000000000001</v>
      </c>
      <c r="AA30" s="13">
        <v>8300</v>
      </c>
      <c r="AC30">
        <v>15.925000000000001</v>
      </c>
      <c r="AD30" s="13">
        <v>8300</v>
      </c>
      <c r="AG30" s="13"/>
    </row>
    <row r="31" spans="16:33">
      <c r="P31">
        <f t="shared" si="2"/>
        <v>15.926</v>
      </c>
      <c r="Q31">
        <v>16.38</v>
      </c>
      <c r="R31" s="13">
        <v>18030.303999999996</v>
      </c>
      <c r="S31">
        <f t="shared" si="3"/>
        <v>15.926</v>
      </c>
      <c r="T31">
        <v>16.38</v>
      </c>
      <c r="U31" s="13">
        <v>13500</v>
      </c>
      <c r="Z31">
        <v>16.38</v>
      </c>
      <c r="AA31" s="13">
        <v>8300</v>
      </c>
      <c r="AC31">
        <v>16.38</v>
      </c>
      <c r="AD31" s="13">
        <v>8300</v>
      </c>
      <c r="AG31" s="13"/>
    </row>
    <row r="32" spans="16:33">
      <c r="P32">
        <f t="shared" si="2"/>
        <v>16.381</v>
      </c>
      <c r="Q32">
        <v>16.834999999999997</v>
      </c>
      <c r="R32" s="13">
        <v>18351.567999999999</v>
      </c>
      <c r="S32">
        <f t="shared" si="3"/>
        <v>16.381</v>
      </c>
      <c r="T32">
        <v>16.834999999999997</v>
      </c>
      <c r="U32" s="13">
        <v>14500</v>
      </c>
      <c r="Z32">
        <v>16.834999999999997</v>
      </c>
      <c r="AA32" s="13">
        <v>8300</v>
      </c>
      <c r="AC32">
        <v>16.834999999999997</v>
      </c>
      <c r="AD32" s="13">
        <v>8300</v>
      </c>
      <c r="AG32" s="13"/>
    </row>
    <row r="33" spans="16:33">
      <c r="P33">
        <f t="shared" si="2"/>
        <v>16.835999999999999</v>
      </c>
      <c r="Q33">
        <v>17.289999999999996</v>
      </c>
      <c r="R33" s="13">
        <v>18552.832000000009</v>
      </c>
      <c r="S33">
        <f t="shared" si="3"/>
        <v>16.835999999999999</v>
      </c>
      <c r="T33">
        <v>17.289999999999996</v>
      </c>
      <c r="U33" s="13">
        <v>15500</v>
      </c>
      <c r="Z33">
        <v>17.289999999999996</v>
      </c>
      <c r="AA33" s="13">
        <v>8300</v>
      </c>
      <c r="AC33">
        <v>17.289999999999996</v>
      </c>
      <c r="AD33" s="13">
        <v>8300</v>
      </c>
      <c r="AG33" s="13"/>
    </row>
    <row r="34" spans="16:33">
      <c r="P34">
        <f t="shared" si="2"/>
        <v>17.290999999999997</v>
      </c>
      <c r="Q34">
        <v>17.744999999999994</v>
      </c>
      <c r="R34" s="13">
        <v>18754.095999999998</v>
      </c>
      <c r="S34">
        <f t="shared" si="3"/>
        <v>17.290999999999997</v>
      </c>
      <c r="T34">
        <v>17.744999999999994</v>
      </c>
      <c r="U34" s="13">
        <v>15500</v>
      </c>
      <c r="Z34">
        <v>17.744999999999994</v>
      </c>
      <c r="AA34" s="13">
        <v>8300</v>
      </c>
      <c r="AC34">
        <v>17.744999999999994</v>
      </c>
      <c r="AD34" s="13">
        <v>8300</v>
      </c>
      <c r="AG34" s="13"/>
    </row>
    <row r="35" spans="16:33">
      <c r="P35">
        <f t="shared" si="2"/>
        <v>17.745999999999995</v>
      </c>
      <c r="Q35">
        <v>18.199999999999992</v>
      </c>
      <c r="R35" s="13">
        <v>18955.359999999993</v>
      </c>
      <c r="S35">
        <f t="shared" si="3"/>
        <v>17.745999999999995</v>
      </c>
      <c r="T35">
        <v>18.199999999999992</v>
      </c>
      <c r="U35" s="13">
        <v>15499.999999999993</v>
      </c>
      <c r="Z35">
        <v>18.199999999999992</v>
      </c>
      <c r="AA35" s="13">
        <v>8300</v>
      </c>
      <c r="AC35">
        <v>18.199999999999992</v>
      </c>
      <c r="AD35" s="13">
        <v>8300</v>
      </c>
      <c r="AG35" s="13"/>
    </row>
    <row r="36" spans="16:33">
      <c r="P36">
        <f t="shared" si="2"/>
        <v>18.200999999999993</v>
      </c>
      <c r="Q36">
        <v>18.65499999999999</v>
      </c>
      <c r="R36" s="13">
        <v>19156.623999999996</v>
      </c>
      <c r="S36">
        <f t="shared" si="3"/>
        <v>18.200999999999993</v>
      </c>
      <c r="T36">
        <v>18.65499999999999</v>
      </c>
      <c r="U36" s="13">
        <v>16500</v>
      </c>
      <c r="Z36">
        <v>18.65499999999999</v>
      </c>
      <c r="AA36" s="13">
        <v>8300</v>
      </c>
      <c r="AC36">
        <v>18.65499999999999</v>
      </c>
      <c r="AD36" s="13">
        <v>8300</v>
      </c>
      <c r="AG36" s="13"/>
    </row>
    <row r="37" spans="16:33">
      <c r="P37">
        <f t="shared" si="2"/>
        <v>18.655999999999992</v>
      </c>
      <c r="Q37">
        <v>19.109999999999989</v>
      </c>
      <c r="R37" s="13">
        <v>19357.887999999992</v>
      </c>
      <c r="S37">
        <f t="shared" si="3"/>
        <v>18.655999999999992</v>
      </c>
      <c r="T37">
        <v>19.109999999999989</v>
      </c>
      <c r="U37" s="13">
        <v>16499.999999999993</v>
      </c>
      <c r="Z37">
        <v>19.109999999999989</v>
      </c>
      <c r="AA37" s="13">
        <v>8300</v>
      </c>
      <c r="AC37">
        <v>19.109999999999989</v>
      </c>
      <c r="AD37" s="13">
        <v>8300</v>
      </c>
      <c r="AG37" s="13"/>
    </row>
    <row r="38" spans="16:33">
      <c r="P38">
        <f t="shared" si="2"/>
        <v>19.11099999999999</v>
      </c>
      <c r="Q38">
        <v>19.564999999999987</v>
      </c>
      <c r="R38" s="13">
        <v>19559.152000000009</v>
      </c>
      <c r="S38">
        <f t="shared" si="3"/>
        <v>19.11099999999999</v>
      </c>
      <c r="T38">
        <v>19.564999999999987</v>
      </c>
      <c r="U38" s="13">
        <v>16500</v>
      </c>
      <c r="Z38">
        <v>19.564999999999987</v>
      </c>
      <c r="AA38" s="13">
        <v>8300</v>
      </c>
      <c r="AC38">
        <v>19.564999999999987</v>
      </c>
      <c r="AD38" s="13">
        <v>8300</v>
      </c>
      <c r="AG38" s="13"/>
    </row>
    <row r="39" spans="16:33">
      <c r="P39">
        <f t="shared" si="2"/>
        <v>19.565999999999988</v>
      </c>
      <c r="Q39">
        <v>20.019999999999985</v>
      </c>
      <c r="R39" s="13">
        <v>19360.015999999996</v>
      </c>
      <c r="S39">
        <f t="shared" si="3"/>
        <v>19.565999999999988</v>
      </c>
      <c r="T39">
        <v>20.019999999999985</v>
      </c>
      <c r="U39" s="13">
        <v>18499.999999999993</v>
      </c>
      <c r="Z39">
        <v>20.019999999999985</v>
      </c>
      <c r="AA39" s="13">
        <v>8300</v>
      </c>
      <c r="AC39">
        <v>20.019999999999985</v>
      </c>
      <c r="AD39" s="13">
        <v>8300</v>
      </c>
      <c r="AG39" s="13"/>
    </row>
    <row r="40" spans="16:33">
      <c r="P40">
        <f t="shared" si="2"/>
        <v>20.020999999999987</v>
      </c>
      <c r="Q40">
        <v>20.474999999999984</v>
      </c>
      <c r="R40" s="13">
        <v>20471.380000000005</v>
      </c>
      <c r="S40">
        <f t="shared" si="3"/>
        <v>20.020999999999987</v>
      </c>
      <c r="T40">
        <v>20.474999999999984</v>
      </c>
      <c r="U40" s="13">
        <v>18500</v>
      </c>
      <c r="Z40">
        <v>20.474999999999984</v>
      </c>
      <c r="AA40" s="13">
        <v>8300</v>
      </c>
      <c r="AC40">
        <v>20.474999999999984</v>
      </c>
      <c r="AD40" s="13">
        <v>8300</v>
      </c>
      <c r="AG40" s="13"/>
    </row>
    <row r="41" spans="16:33">
      <c r="P41">
        <f t="shared" si="2"/>
        <v>20.475999999999985</v>
      </c>
      <c r="Q41">
        <v>20.929999999999982</v>
      </c>
      <c r="R41" s="13">
        <v>20663.543999999994</v>
      </c>
      <c r="S41">
        <f t="shared" si="3"/>
        <v>20.475999999999985</v>
      </c>
      <c r="T41">
        <v>20.929999999999982</v>
      </c>
      <c r="U41" s="13">
        <v>18499.999999999993</v>
      </c>
      <c r="Z41">
        <v>20.929999999999982</v>
      </c>
      <c r="AA41" s="13">
        <v>8300</v>
      </c>
      <c r="AC41">
        <v>20.929999999999982</v>
      </c>
      <c r="AD41" s="13">
        <v>8300</v>
      </c>
      <c r="AG41" s="13"/>
    </row>
    <row r="42" spans="16:33">
      <c r="P42">
        <f t="shared" si="2"/>
        <v>20.930999999999983</v>
      </c>
      <c r="Q42">
        <v>21.38499999999998</v>
      </c>
      <c r="R42" s="13">
        <v>20855.707999999991</v>
      </c>
      <c r="S42">
        <f t="shared" si="3"/>
        <v>20.930999999999983</v>
      </c>
      <c r="T42">
        <v>21.38499999999998</v>
      </c>
      <c r="U42" s="13">
        <v>18499.999999999993</v>
      </c>
      <c r="Z42">
        <v>21.38499999999998</v>
      </c>
      <c r="AA42" s="13">
        <v>8300</v>
      </c>
      <c r="AC42">
        <v>21.38499999999998</v>
      </c>
      <c r="AD42" s="13">
        <v>8300</v>
      </c>
      <c r="AG42" s="13"/>
    </row>
    <row r="43" spans="16:33">
      <c r="P43">
        <f t="shared" si="2"/>
        <v>21.385999999999981</v>
      </c>
      <c r="Q43">
        <v>21.839999999999979</v>
      </c>
      <c r="R43" s="13">
        <v>21047.871999999996</v>
      </c>
      <c r="S43">
        <f t="shared" si="3"/>
        <v>21.385999999999981</v>
      </c>
      <c r="T43">
        <v>21.839999999999979</v>
      </c>
      <c r="U43" s="13">
        <v>18499.999999999993</v>
      </c>
      <c r="Z43">
        <v>21.839999999999979</v>
      </c>
      <c r="AA43" s="13">
        <v>8300</v>
      </c>
      <c r="AC43">
        <v>21.839999999999979</v>
      </c>
      <c r="AD43" s="13">
        <v>8300</v>
      </c>
      <c r="AG43" s="13"/>
    </row>
    <row r="44" spans="16:33">
      <c r="P44">
        <f t="shared" si="2"/>
        <v>21.84099999999998</v>
      </c>
      <c r="Q44">
        <v>22.294999999999977</v>
      </c>
      <c r="R44" s="13">
        <v>21240.035999999993</v>
      </c>
      <c r="S44">
        <f t="shared" si="3"/>
        <v>21.84099999999998</v>
      </c>
      <c r="T44">
        <v>22.294999999999977</v>
      </c>
      <c r="U44" s="13">
        <v>18500</v>
      </c>
      <c r="Z44">
        <v>22.294999999999977</v>
      </c>
      <c r="AA44" s="13">
        <v>8300</v>
      </c>
      <c r="AC44">
        <v>22.294999999999977</v>
      </c>
      <c r="AD44" s="13">
        <v>8300</v>
      </c>
      <c r="AG44" s="13"/>
    </row>
    <row r="45" spans="16:33">
      <c r="P45">
        <f t="shared" si="2"/>
        <v>22.295999999999978</v>
      </c>
      <c r="Q45">
        <v>22.749999999999975</v>
      </c>
      <c r="R45" s="13">
        <v>21432.199999999983</v>
      </c>
      <c r="S45">
        <f t="shared" si="3"/>
        <v>22.295999999999978</v>
      </c>
      <c r="T45">
        <v>22.749999999999975</v>
      </c>
      <c r="U45" s="13">
        <v>18499.999999999993</v>
      </c>
      <c r="Z45">
        <v>22.749999999999975</v>
      </c>
      <c r="AA45" s="13">
        <v>8300</v>
      </c>
      <c r="AC45">
        <v>22.749999999999975</v>
      </c>
      <c r="AD45" s="13">
        <v>8300</v>
      </c>
      <c r="AG45" s="13"/>
    </row>
    <row r="46" spans="16:33">
      <c r="P46">
        <f t="shared" si="2"/>
        <v>22.750999999999976</v>
      </c>
      <c r="Q46">
        <v>23.204999999999973</v>
      </c>
      <c r="R46" s="13">
        <v>21624.363999999987</v>
      </c>
      <c r="S46">
        <f t="shared" si="3"/>
        <v>22.750999999999976</v>
      </c>
      <c r="T46">
        <v>23.204999999999973</v>
      </c>
      <c r="U46" s="13">
        <v>18499.999999999985</v>
      </c>
      <c r="Z46">
        <v>23.204999999999973</v>
      </c>
      <c r="AA46" s="13">
        <v>8300</v>
      </c>
      <c r="AC46">
        <v>23.204999999999973</v>
      </c>
      <c r="AD46" s="13">
        <v>8300</v>
      </c>
      <c r="AG46" s="13"/>
    </row>
    <row r="47" spans="16:33">
      <c r="P47">
        <f t="shared" si="2"/>
        <v>23.205999999999975</v>
      </c>
      <c r="Q47">
        <v>23.659999999999972</v>
      </c>
      <c r="R47" s="13">
        <v>21816.527999999998</v>
      </c>
      <c r="S47">
        <f t="shared" si="3"/>
        <v>23.205999999999975</v>
      </c>
      <c r="T47">
        <v>23.659999999999972</v>
      </c>
      <c r="U47" s="13">
        <v>18499.999999999993</v>
      </c>
      <c r="Z47">
        <v>23.659999999999972</v>
      </c>
      <c r="AA47" s="13">
        <v>8300</v>
      </c>
      <c r="AC47">
        <v>23.659999999999972</v>
      </c>
      <c r="AD47" s="13">
        <v>8300</v>
      </c>
      <c r="AG47" s="13"/>
    </row>
    <row r="48" spans="16:33">
      <c r="P48">
        <f t="shared" si="2"/>
        <v>23.660999999999973</v>
      </c>
      <c r="Q48">
        <v>24.11499999999997</v>
      </c>
      <c r="R48" s="13">
        <v>22008.691999999988</v>
      </c>
      <c r="S48">
        <f t="shared" si="3"/>
        <v>23.660999999999973</v>
      </c>
      <c r="T48">
        <v>24.11499999999997</v>
      </c>
      <c r="U48" s="13">
        <v>18499.999999999985</v>
      </c>
      <c r="Z48">
        <v>24.11499999999997</v>
      </c>
      <c r="AA48" s="13">
        <v>8300</v>
      </c>
      <c r="AC48">
        <v>24.11499999999997</v>
      </c>
      <c r="AD48" s="13">
        <v>8300</v>
      </c>
      <c r="AG48" s="13"/>
    </row>
    <row r="49" spans="16:33">
      <c r="P49">
        <f t="shared" si="2"/>
        <v>24.115999999999971</v>
      </c>
      <c r="Q49">
        <v>24.569999999999968</v>
      </c>
      <c r="R49" s="13">
        <v>22200.855999999985</v>
      </c>
      <c r="S49">
        <f t="shared" si="3"/>
        <v>24.115999999999971</v>
      </c>
      <c r="T49">
        <v>24.569999999999968</v>
      </c>
      <c r="U49" s="13">
        <v>18499.999999999985</v>
      </c>
      <c r="Z49">
        <v>24.569999999999968</v>
      </c>
      <c r="AA49" s="13">
        <v>8300</v>
      </c>
      <c r="AC49">
        <v>24.569999999999968</v>
      </c>
      <c r="AD49" s="13">
        <v>8300</v>
      </c>
      <c r="AG49" s="13"/>
    </row>
    <row r="50" spans="16:33">
      <c r="P50">
        <f t="shared" si="2"/>
        <v>24.57099999999997</v>
      </c>
      <c r="Q50">
        <v>25.024999999999967</v>
      </c>
      <c r="R50" s="13">
        <v>22513.019999999975</v>
      </c>
      <c r="S50">
        <f t="shared" si="3"/>
        <v>24.57099999999997</v>
      </c>
      <c r="T50">
        <v>25.024999999999967</v>
      </c>
      <c r="U50" s="13">
        <v>18499.999999999985</v>
      </c>
      <c r="Y50" s="51"/>
      <c r="Z50">
        <v>25.024999999999967</v>
      </c>
      <c r="AA50" s="13">
        <v>8300</v>
      </c>
      <c r="AC50">
        <v>25.024999999999967</v>
      </c>
      <c r="AD50" s="13">
        <v>8300</v>
      </c>
      <c r="AG50" s="13"/>
    </row>
    <row r="51" spans="16:33">
      <c r="P51">
        <f t="shared" si="2"/>
        <v>25.025999999999968</v>
      </c>
      <c r="Q51">
        <v>25.479999999999965</v>
      </c>
      <c r="R51" s="13">
        <v>22705.183999999972</v>
      </c>
      <c r="S51">
        <f t="shared" si="3"/>
        <v>25.025999999999968</v>
      </c>
      <c r="T51">
        <v>25.479999999999965</v>
      </c>
      <c r="U51" s="13">
        <v>18499.999999999985</v>
      </c>
      <c r="Z51">
        <v>25.479999999999965</v>
      </c>
      <c r="AA51" s="13">
        <v>8300</v>
      </c>
      <c r="AC51">
        <v>25.479999999999965</v>
      </c>
      <c r="AD51" s="13">
        <v>8300</v>
      </c>
      <c r="AG51" s="13"/>
    </row>
    <row r="52" spans="16:33">
      <c r="P52">
        <f t="shared" si="2"/>
        <v>25.480999999999966</v>
      </c>
      <c r="Q52">
        <v>25.934999999999963</v>
      </c>
      <c r="R52" s="13">
        <v>22897.347999999976</v>
      </c>
      <c r="S52">
        <f t="shared" si="3"/>
        <v>25.480999999999966</v>
      </c>
      <c r="T52">
        <v>25.934999999999963</v>
      </c>
      <c r="U52" s="13">
        <v>18499.999999999985</v>
      </c>
      <c r="Z52">
        <v>25.934999999999963</v>
      </c>
      <c r="AA52" s="13">
        <v>8300</v>
      </c>
      <c r="AC52">
        <v>25.934999999999963</v>
      </c>
      <c r="AD52" s="13">
        <v>8300</v>
      </c>
      <c r="AG52" s="13"/>
    </row>
    <row r="53" spans="16:33">
      <c r="P53">
        <f t="shared" si="2"/>
        <v>25.935999999999964</v>
      </c>
      <c r="Q53">
        <v>26.389999999999961</v>
      </c>
      <c r="R53" s="13">
        <v>23089.511999999988</v>
      </c>
      <c r="S53">
        <f t="shared" si="3"/>
        <v>25.935999999999964</v>
      </c>
      <c r="T53">
        <v>26.389999999999961</v>
      </c>
      <c r="U53" s="13">
        <v>18499.999999999985</v>
      </c>
      <c r="Z53">
        <v>26.389999999999961</v>
      </c>
      <c r="AA53" s="13">
        <v>8300</v>
      </c>
      <c r="AC53">
        <v>26.389999999999961</v>
      </c>
      <c r="AD53" s="13">
        <v>8300</v>
      </c>
      <c r="AG53" s="13"/>
    </row>
    <row r="54" spans="16:33">
      <c r="P54">
        <f t="shared" si="2"/>
        <v>26.390999999999963</v>
      </c>
      <c r="Q54">
        <v>26.84499999999996</v>
      </c>
      <c r="R54" s="13">
        <v>23361.675999999978</v>
      </c>
      <c r="S54">
        <f t="shared" si="3"/>
        <v>26.390999999999963</v>
      </c>
      <c r="T54">
        <v>26.84499999999996</v>
      </c>
      <c r="U54" s="13">
        <v>18499.999999999985</v>
      </c>
      <c r="Z54">
        <v>26.84499999999996</v>
      </c>
      <c r="AA54" s="13">
        <v>8300</v>
      </c>
      <c r="AC54">
        <v>26.84499999999996</v>
      </c>
      <c r="AD54" s="13">
        <v>8300</v>
      </c>
      <c r="AG54" s="13"/>
    </row>
    <row r="55" spans="16:33">
      <c r="P55">
        <f t="shared" si="2"/>
        <v>26.845999999999961</v>
      </c>
      <c r="Q55">
        <v>27.299999999999958</v>
      </c>
      <c r="R55" s="13">
        <v>23553.839999999975</v>
      </c>
      <c r="S55">
        <f t="shared" si="3"/>
        <v>26.845999999999961</v>
      </c>
      <c r="T55">
        <v>27.299999999999958</v>
      </c>
      <c r="U55" s="13">
        <v>18499.999999999985</v>
      </c>
      <c r="Z55">
        <v>27.299999999999958</v>
      </c>
      <c r="AA55" s="13">
        <v>8300</v>
      </c>
      <c r="AC55">
        <v>27.299999999999958</v>
      </c>
      <c r="AD55" s="13">
        <v>8300</v>
      </c>
      <c r="AG55" s="13"/>
    </row>
    <row r="56" spans="16:33">
      <c r="P56">
        <f t="shared" si="2"/>
        <v>27.300999999999959</v>
      </c>
      <c r="Q56">
        <v>27.754999999999956</v>
      </c>
      <c r="R56" s="13">
        <v>23746.003999999964</v>
      </c>
      <c r="S56">
        <f t="shared" si="3"/>
        <v>27.300999999999959</v>
      </c>
      <c r="T56">
        <v>27.754999999999956</v>
      </c>
      <c r="U56" s="13">
        <v>18499.999999999978</v>
      </c>
      <c r="Z56">
        <v>27.754999999999956</v>
      </c>
      <c r="AA56" s="13">
        <v>8300</v>
      </c>
      <c r="AC56">
        <v>27.754999999999956</v>
      </c>
      <c r="AD56" s="13">
        <v>8300</v>
      </c>
      <c r="AG56" s="13"/>
    </row>
    <row r="57" spans="16:33">
      <c r="P57">
        <f t="shared" si="2"/>
        <v>27.755999999999958</v>
      </c>
      <c r="Q57">
        <v>28.209999999999955</v>
      </c>
      <c r="R57" s="13">
        <v>23938.167999999976</v>
      </c>
      <c r="S57">
        <f t="shared" si="3"/>
        <v>27.755999999999958</v>
      </c>
      <c r="T57">
        <v>28.209999999999955</v>
      </c>
      <c r="U57" s="13">
        <v>18499.999999999985</v>
      </c>
      <c r="Z57">
        <v>28.209999999999955</v>
      </c>
      <c r="AA57" s="13">
        <v>8300</v>
      </c>
      <c r="AC57">
        <v>28.209999999999955</v>
      </c>
      <c r="AD57" s="13">
        <v>8300</v>
      </c>
      <c r="AG57" s="13"/>
    </row>
    <row r="58" spans="16:33">
      <c r="P58">
        <f t="shared" si="2"/>
        <v>28.210999999999956</v>
      </c>
      <c r="Q58">
        <v>28.664999999999953</v>
      </c>
      <c r="R58" s="13">
        <v>24130.33199999998</v>
      </c>
      <c r="S58">
        <f t="shared" si="3"/>
        <v>28.210999999999956</v>
      </c>
      <c r="T58">
        <v>28.664999999999953</v>
      </c>
      <c r="U58" s="13">
        <v>18499.999999999985</v>
      </c>
      <c r="Z58">
        <v>28.664999999999953</v>
      </c>
      <c r="AA58" s="13">
        <v>8300</v>
      </c>
      <c r="AC58">
        <v>28.664999999999953</v>
      </c>
      <c r="AD58" s="13">
        <v>8300</v>
      </c>
      <c r="AG58" s="13"/>
    </row>
    <row r="59" spans="16:33">
      <c r="P59">
        <f t="shared" si="2"/>
        <v>28.665999999999954</v>
      </c>
      <c r="Q59">
        <v>29.119999999999951</v>
      </c>
      <c r="R59" s="13">
        <v>24322.495999999977</v>
      </c>
      <c r="S59">
        <f t="shared" si="3"/>
        <v>28.665999999999954</v>
      </c>
      <c r="T59">
        <v>29.119999999999951</v>
      </c>
      <c r="U59" s="13">
        <v>18499.999999999993</v>
      </c>
      <c r="Z59">
        <v>29.119999999999951</v>
      </c>
      <c r="AA59" s="13">
        <v>8300</v>
      </c>
      <c r="AC59">
        <v>29.119999999999951</v>
      </c>
      <c r="AD59" s="13">
        <v>8300</v>
      </c>
      <c r="AG59" s="13"/>
    </row>
    <row r="60" spans="16:33">
      <c r="P60">
        <f t="shared" si="2"/>
        <v>29.120999999999952</v>
      </c>
      <c r="Q60">
        <v>29.57499999999995</v>
      </c>
      <c r="R60" s="13">
        <v>24514.659999999967</v>
      </c>
      <c r="S60">
        <f t="shared" si="3"/>
        <v>29.120999999999952</v>
      </c>
      <c r="T60">
        <v>29.57499999999995</v>
      </c>
      <c r="U60" s="13">
        <v>18499.999999999978</v>
      </c>
      <c r="Z60">
        <v>29.57499999999995</v>
      </c>
      <c r="AA60" s="13">
        <v>8300</v>
      </c>
      <c r="AC60">
        <v>29.57499999999995</v>
      </c>
      <c r="AD60" s="13">
        <v>8300</v>
      </c>
      <c r="AG60" s="13"/>
    </row>
    <row r="61" spans="16:33">
      <c r="P61">
        <f t="shared" si="2"/>
        <v>29.575999999999951</v>
      </c>
      <c r="Q61">
        <v>30.029999999999948</v>
      </c>
      <c r="R61" s="13">
        <v>24106.223999999987</v>
      </c>
      <c r="S61">
        <f t="shared" si="3"/>
        <v>29.575999999999951</v>
      </c>
      <c r="T61">
        <v>30.029999999999948</v>
      </c>
      <c r="U61" s="13">
        <v>18499.999999999985</v>
      </c>
      <c r="Z61">
        <v>30.029999999999948</v>
      </c>
      <c r="AA61" s="13">
        <v>8300</v>
      </c>
      <c r="AC61">
        <v>30.029999999999948</v>
      </c>
      <c r="AD61" s="13">
        <v>8300</v>
      </c>
      <c r="AG61" s="13"/>
    </row>
    <row r="62" spans="16:33">
      <c r="T62">
        <v>30.484999999999946</v>
      </c>
      <c r="U62" s="13">
        <v>18499.999999999971</v>
      </c>
    </row>
    <row r="63" spans="16:33">
      <c r="T63">
        <v>30.939999999999944</v>
      </c>
      <c r="U63" s="13">
        <v>18499.999999999978</v>
      </c>
    </row>
    <row r="64" spans="16:33">
      <c r="T64">
        <v>31.394999999999943</v>
      </c>
      <c r="U64" s="13">
        <v>18499.999999999978</v>
      </c>
    </row>
    <row r="65" spans="20:21">
      <c r="T65">
        <v>31.849999999999941</v>
      </c>
      <c r="U65" s="13">
        <v>18499.999999999985</v>
      </c>
    </row>
    <row r="66" spans="20:21">
      <c r="T66">
        <v>32.304999999999943</v>
      </c>
      <c r="U66" s="13">
        <v>18499.999999999985</v>
      </c>
    </row>
    <row r="67" spans="20:21">
      <c r="T67">
        <v>32.759999999999941</v>
      </c>
      <c r="U67" s="13">
        <v>18499.999999999978</v>
      </c>
    </row>
    <row r="68" spans="20:21">
      <c r="T68">
        <v>33.214999999999939</v>
      </c>
      <c r="U68" s="13">
        <v>18499.999999999978</v>
      </c>
    </row>
    <row r="69" spans="20:21">
      <c r="T69">
        <v>33.669999999999938</v>
      </c>
      <c r="U69" s="13">
        <v>18499.999999999971</v>
      </c>
    </row>
    <row r="70" spans="20:21">
      <c r="T70">
        <v>34.124999999999936</v>
      </c>
      <c r="U70" s="13">
        <v>18499.999999999971</v>
      </c>
    </row>
    <row r="71" spans="20:21">
      <c r="T71">
        <v>34.579999999999934</v>
      </c>
      <c r="U71" s="13">
        <v>18499.999999999971</v>
      </c>
    </row>
    <row r="72" spans="20:21">
      <c r="T72">
        <v>35.034999999999933</v>
      </c>
      <c r="U72" s="13">
        <v>18499.999999999978</v>
      </c>
    </row>
    <row r="73" spans="20:21">
      <c r="T73">
        <v>35.489999999999931</v>
      </c>
      <c r="U73" s="13">
        <v>18499.999999999985</v>
      </c>
    </row>
    <row r="74" spans="20:21">
      <c r="T74">
        <v>35.944999999999929</v>
      </c>
      <c r="U74" s="13">
        <v>18499.999999999971</v>
      </c>
    </row>
    <row r="75" spans="20:21">
      <c r="T75">
        <v>36.399999999999928</v>
      </c>
      <c r="U75" s="13">
        <v>18499.999999999971</v>
      </c>
    </row>
    <row r="76" spans="20:21">
      <c r="T76">
        <v>36.854999999999926</v>
      </c>
      <c r="U76" s="13">
        <v>18499.999999999964</v>
      </c>
    </row>
    <row r="77" spans="20:21">
      <c r="T77">
        <v>37.309999999999924</v>
      </c>
      <c r="U77" s="13">
        <v>18499.999999999964</v>
      </c>
    </row>
    <row r="78" spans="20:21">
      <c r="T78">
        <v>37.764999999999922</v>
      </c>
      <c r="U78" s="13">
        <v>18499.999999999971</v>
      </c>
    </row>
    <row r="79" spans="20:21">
      <c r="T79">
        <v>38.219999999999921</v>
      </c>
      <c r="U79" s="13">
        <v>18499.999999999971</v>
      </c>
    </row>
    <row r="80" spans="20:21">
      <c r="T80">
        <v>38.674999999999919</v>
      </c>
      <c r="U80" s="13">
        <v>18499.999999999964</v>
      </c>
    </row>
    <row r="81" spans="20:21">
      <c r="T81">
        <v>39.129999999999917</v>
      </c>
      <c r="U81" s="13">
        <v>18499.999999999964</v>
      </c>
    </row>
    <row r="82" spans="20:21">
      <c r="T82">
        <v>39.584999999999916</v>
      </c>
      <c r="U82" s="13">
        <v>18499.999999999971</v>
      </c>
    </row>
    <row r="83" spans="20:21">
      <c r="T83">
        <v>40.039999999999914</v>
      </c>
      <c r="U83" s="13">
        <v>18499.999999999956</v>
      </c>
    </row>
    <row r="84" spans="20:21">
      <c r="T84">
        <v>40.494999999999912</v>
      </c>
      <c r="U84" s="13">
        <v>18499.999999999964</v>
      </c>
    </row>
    <row r="85" spans="20:21">
      <c r="T85">
        <v>40.94999999999991</v>
      </c>
      <c r="U85" s="13">
        <v>18499.999999999964</v>
      </c>
    </row>
    <row r="86" spans="20:21">
      <c r="T86">
        <v>41.404999999999909</v>
      </c>
      <c r="U86" s="13">
        <v>18499.999999999971</v>
      </c>
    </row>
    <row r="87" spans="20:21">
      <c r="T87">
        <v>41.859999999999907</v>
      </c>
      <c r="U87" s="13">
        <v>18499.999999999956</v>
      </c>
    </row>
    <row r="88" spans="20:21">
      <c r="T88">
        <v>42.314999999999905</v>
      </c>
      <c r="U88" s="13">
        <v>18499.999999999964</v>
      </c>
    </row>
    <row r="89" spans="20:21">
      <c r="T89">
        <v>42.769999999999904</v>
      </c>
      <c r="U89" s="13">
        <v>18499.999999999949</v>
      </c>
    </row>
    <row r="90" spans="20:21">
      <c r="T90">
        <v>43.224999999999902</v>
      </c>
      <c r="U90" s="13">
        <v>18499.999999999956</v>
      </c>
    </row>
    <row r="91" spans="20:21">
      <c r="T91">
        <v>43.6799999999999</v>
      </c>
      <c r="U91" s="13">
        <v>18499.999999999956</v>
      </c>
    </row>
    <row r="92" spans="20:21">
      <c r="T92">
        <v>44.134999999999899</v>
      </c>
      <c r="U92" s="13">
        <v>18499.999999999964</v>
      </c>
    </row>
    <row r="93" spans="20:21">
      <c r="T93">
        <v>44.589999999999897</v>
      </c>
      <c r="U93" s="13">
        <v>18499.999999999964</v>
      </c>
    </row>
    <row r="94" spans="20:21">
      <c r="T94">
        <v>45.044999999999895</v>
      </c>
      <c r="U94" s="13">
        <v>18499.999999999956</v>
      </c>
    </row>
    <row r="95" spans="20:21">
      <c r="T95">
        <v>45.499999999999893</v>
      </c>
      <c r="U95" s="13">
        <v>18499.999999999956</v>
      </c>
    </row>
    <row r="96" spans="20:21">
      <c r="T96">
        <v>45.954999999999892</v>
      </c>
      <c r="U96" s="13">
        <v>18499.999999999942</v>
      </c>
    </row>
    <row r="97" spans="2:36">
      <c r="T97">
        <v>46.40999999999989</v>
      </c>
      <c r="U97" s="13">
        <v>18499.999999999949</v>
      </c>
    </row>
    <row r="98" spans="2:36">
      <c r="T98">
        <v>46.864999999999888</v>
      </c>
      <c r="U98" s="13">
        <v>18499.999999999956</v>
      </c>
    </row>
    <row r="99" spans="2:36">
      <c r="T99">
        <v>47.319999999999887</v>
      </c>
      <c r="U99" s="13">
        <v>18499.999999999956</v>
      </c>
    </row>
    <row r="100" spans="2:36">
      <c r="T100">
        <v>47.774999999999885</v>
      </c>
      <c r="U100" s="13">
        <v>18499.999999999942</v>
      </c>
    </row>
    <row r="101" spans="2:36">
      <c r="T101">
        <v>48.229999999999883</v>
      </c>
      <c r="U101" s="13">
        <v>18499.999999999942</v>
      </c>
    </row>
    <row r="102" spans="2:36">
      <c r="T102">
        <v>48.684999999999881</v>
      </c>
      <c r="U102" s="13">
        <v>18499.999999999956</v>
      </c>
    </row>
    <row r="103" spans="2:36">
      <c r="T103">
        <v>49.13999999999988</v>
      </c>
      <c r="U103" s="13">
        <v>18499.999999999942</v>
      </c>
    </row>
    <row r="104" spans="2:36">
      <c r="T104">
        <v>49.594999999999878</v>
      </c>
      <c r="U104" s="13">
        <v>18499.999999999942</v>
      </c>
    </row>
    <row r="105" spans="2:36">
      <c r="T105">
        <v>50.049999999999876</v>
      </c>
      <c r="U105" s="13">
        <v>18499.999999999942</v>
      </c>
    </row>
    <row r="106" spans="2:36">
      <c r="R106">
        <f>VLOOKUP(B108,Q2:R61,2,TRUE)</f>
        <v>7203.885999999995</v>
      </c>
      <c r="T106">
        <v>50.504999999999875</v>
      </c>
      <c r="U106" s="13">
        <v>18499.999999999956</v>
      </c>
    </row>
    <row r="107" spans="2:36">
      <c r="R107" cm="1">
        <f t="array" ref="R107">_xlfn.IFS($B$108&lt;=Q2,R2,$B$108&lt;=Q3,R3,$B$108&lt;=Q4,R4,$B$108&lt;=Q5,R5,$B$108&lt;=Q6,R6,$B$108&lt;=Q7,R7,$B$108&lt;=Q8,R8,$B$108&lt;=Q9,R9,$B$108&lt;=Q10,R10,$B$108&lt;=Q11,R11,$B$108&lt;=Q12,R12,$B$108&lt;=Q13,R13,$B$108&lt;=Q14,R14,$B$108&lt;=Q15,R15)</f>
        <v>7203.885999999995</v>
      </c>
      <c r="U107" s="13" cm="1">
        <f t="array" ref="U107">_xlfn.IFS($B$108&lt;=T1,U1,$B$108&lt;=T2,U2,$B$108&lt;=T3,U3,$B$108&lt;=T4,U4,$B$108&lt;=T5,U5,$B$108&lt;=T6,U6,$B$108&lt;=T7,U7,$B$108&lt;=T8,U8,$B$108&lt;=T9,U9,$B$108&lt;=T10,U10,$B$108&lt;=T11,U11,$B$108&lt;=T12,U12,$B$108&lt;=T13,U13,$B$108&lt;=T14,U14)</f>
        <v>8300</v>
      </c>
      <c r="X107" t="e" cm="1">
        <f t="array" ref="X107">_xlfn.IFS($B$108&lt;=W2,X2,$B$108&lt;=W3,X3,$B$108&lt;=W4,X4,$B$108&lt;=W5,X5,$B$108&lt;=W6,X6,$B$108&lt;=W7,X7,$B$108&lt;=W8,X8,$B$108&lt;=W9,X9,$B$108&lt;=W10,X10,$B$108&lt;=W11,X11,$B$108&lt;=W12,X12,$B$108&lt;=W13,X13,$B$108&lt;=W14,X14,$B$108&lt;=W15,X15)</f>
        <v>#N/A</v>
      </c>
      <c r="AA107" cm="1">
        <f t="array" ref="AA107">_xlfn.IFS($B$108&lt;=Z2,AA2,$B$108&lt;=Z3,AA3,$B$108&lt;=Z4,AA4,$B$108&lt;=Z5,AA5,$B$108&lt;=Z6,AA6,$B$108&lt;=Z7,AA7,$B$108&lt;=Z8,AA8,$B$108&lt;=Z9,AA9,$B$108&lt;=Z10,AA10,$B$108&lt;=Z11,AA11,$B$108&lt;=Z12,AA12,$B$108&lt;=Z13,AA13,$B$108&lt;=Z14,AA14,$B$108&lt;=Z15,AA15)</f>
        <v>8300</v>
      </c>
      <c r="AD107" cm="1">
        <f t="array" ref="AD107">_xlfn.IFS($B$108&lt;=AC2,AD2,$B$108&lt;=AC3,AD3,$B$108&lt;=AC4,AD4,$B$108&lt;=AC5,AD5,$B$108&lt;=AC6,AD6,$B$108&lt;=AC7,AD7,$B$108&lt;=AC8,AD8,$B$108&lt;=AC9,AD9,$B$108&lt;=AC10,AD10,$B$108&lt;=AC11,AD11,$B$108&lt;=AC12,AD12,$B$108&lt;=AC13,AD13,$B$108&lt;=AC14,AD14,$B$108&lt;=AC15,AD15)</f>
        <v>8300</v>
      </c>
      <c r="AG107" cm="1">
        <f t="array" ref="AG107">_xlfn.IFS($B$108&lt;=AF8,AG8,$B$108&lt;=AF9,AG9,$B$108&lt;=AF10,AG10,$B$108&lt;=AF5,AG5,$B$108&lt;=AF6,AG6,$B$108&lt;=#REF!,#REF!,$B$108&lt;=#REF!,#REF!,$B$108&lt;=#REF!,#REF!,$B$108&lt;=#REF!,#REF!,$B$108&lt;=AF11,AG11,$B$108&lt;=AF12,AG12,$B$108&lt;=AF13,AG13,$B$108&lt;=AF14,AG14,$B$108&lt;=AF15,AG15)</f>
        <v>0</v>
      </c>
      <c r="AJ107" cm="1">
        <f t="array" ref="AJ107">_xlfn.IFS($B$108&lt;=AI2,AJ2,$B$108&lt;=AI3,AJ3,$B$108&lt;=AI4,AJ4,$B$108&lt;=AI5,AJ5,$B$108&lt;=AI6,AJ6,$B$108&lt;=AI7,AJ7,$B$108&lt;=AI8,AJ8,$B$108&lt;=AI9,AJ9,$B$108&lt;=AI10,AJ10,$B$108&lt;=AI11,AJ11,$B$108&lt;=AI12,AJ12,$B$108&lt;=AI13,AJ13)</f>
        <v>10776.523500000003</v>
      </c>
    </row>
    <row r="108" spans="2:36">
      <c r="B108">
        <f>Obliczenia!$D$1</f>
        <v>3.1850000000000001</v>
      </c>
      <c r="C108" s="13" cm="1">
        <f t="array" ref="C108">_xlfn.IFS($B$108&lt;=B2,C2,$B$108&lt;=B3,C3,$B$108&lt;=B4,C4,$B$108&lt;=B5,C5,$B$108&lt;=B6,C6,$B$108&lt;=B7,C7,$B$108&lt;=B8,C8,$B$108&lt;=B9,C9,$B$108&lt;=B10,C10,$B$108&lt;=B11,C11,$B$108&lt;=B12,C12,$B$108&lt;=B13,C13)</f>
        <v>4000</v>
      </c>
      <c r="F108" s="13" cm="1">
        <f t="array" ref="F108">_xlfn.IFS($B$108&lt;=E2,F2,$B$108&lt;=E3,F3,$B$108&lt;=E4,F4,$B$108&lt;=E5,F5,$B$108&lt;=E6,F6,$B$108&lt;=E7,F7,$B$108&lt;=E8,F8,$B$108&lt;=E9,F9,$B$108&lt;=E10,F10,$B$108&lt;=E11,F11,$B$108&lt;=E12,F12,$B$108&lt;=E13,F13)</f>
        <v>4000</v>
      </c>
      <c r="I108" s="13" cm="1">
        <f t="array" ref="I108">_xlfn.IFS($B$108&lt;=H2,I2,$B$108&lt;=H3,I3,$B$108&lt;=H4,I4,$B$108&lt;=H5,I5,$B$108&lt;=H6,I6,$B$108&lt;=H7,I7,$B$108&lt;=H8,I8,$B$108&lt;=H9,I9,$B$108&lt;=H10,I10,$B$108&lt;=H11,I11,$B$108&lt;=H12,I12,$B$108&lt;=H13,I13)</f>
        <v>5500</v>
      </c>
      <c r="L108" s="13" cm="1">
        <f t="array" ref="L108">_xlfn.IFS($B$108&lt;=K2,L2,$B$108&lt;=K3,L3,$B$108&lt;=K4,L4,$B$108&lt;=K5,L5,$B$108&lt;=K6,L6,$B$108&lt;=K7,L7,$B$108&lt;=K8,L8,$B$108&lt;=K9,L9,$B$108&lt;=K10,L10,$B$108&lt;=K11,L11,$B$108&lt;=K12,L12,$B$108&lt;=K13,L13)</f>
        <v>5500</v>
      </c>
      <c r="O108" s="13" cm="1">
        <f t="array" ref="O108">_xlfn.IFS($B$108&lt;=N2,O2,$B$108&lt;=N3,O3,$B$108&lt;=N4,O4,$B$108&lt;=N5,O5,$B$108&lt;=N6,O6,$B$108&lt;=N7,O7,$B$108&lt;=N8,O8,$B$108&lt;=N9,O9,$B$108&lt;=N10,O10,$B$108&lt;=N11,O11,$B$108&lt;=N12,O12,$B$108&lt;=N13,O13)</f>
        <v>5500</v>
      </c>
      <c r="R108" s="13">
        <f>VLOOKUP(B108,Q2:R61,2,TRUE)</f>
        <v>7203.885999999995</v>
      </c>
      <c r="U108" s="13">
        <f>VLOOKUP(B108,T2:U61,2,TRUE)</f>
        <v>8300</v>
      </c>
      <c r="X108" s="13">
        <f>VLOOKUP(B108,W2:X61,2,TRUE)</f>
        <v>6500</v>
      </c>
      <c r="AA108" s="13">
        <f>VLOOKUP(B108,Z2:AA61,2,TRUE)</f>
        <v>8300</v>
      </c>
      <c r="AD108" s="13">
        <f>VLOOKUP(B108,AC2:AD61,2,TRUE)</f>
        <v>8300</v>
      </c>
      <c r="AG108" s="13">
        <f>VLOOKUP(B108,AF2:AG61,2,TRUE)</f>
        <v>0</v>
      </c>
      <c r="AJ108" s="13">
        <f>VLOOKUP(B108,AI2:AJ61,2,TRUE)</f>
        <v>10776.523500000003</v>
      </c>
    </row>
    <row r="109" spans="2:36">
      <c r="B109" t="s">
        <v>81</v>
      </c>
      <c r="C109" s="13" t="str">
        <f>Baza!$F$3</f>
        <v>Trina Vertex TSM-450</v>
      </c>
      <c r="E109" t="s">
        <v>81</v>
      </c>
      <c r="F109" s="13" t="s">
        <v>27</v>
      </c>
      <c r="H109" t="s">
        <v>82</v>
      </c>
      <c r="I109" s="13" t="str">
        <f>Baza!$F$3</f>
        <v>Trina Vertex TSM-450</v>
      </c>
      <c r="K109" t="s">
        <v>83</v>
      </c>
      <c r="L109" s="13" t="str">
        <f>Baza!$F$3</f>
        <v>Trina Vertex TSM-450</v>
      </c>
      <c r="N109" t="s">
        <v>83</v>
      </c>
      <c r="O109" s="13" t="s">
        <v>27</v>
      </c>
      <c r="Q109" t="s">
        <v>234</v>
      </c>
      <c r="R109" s="13" t="s">
        <v>244</v>
      </c>
      <c r="T109" t="s">
        <v>235</v>
      </c>
      <c r="U109" s="13" t="s">
        <v>244</v>
      </c>
      <c r="W109" t="s">
        <v>188</v>
      </c>
      <c r="X109" s="13" t="s">
        <v>244</v>
      </c>
      <c r="Z109" t="s">
        <v>236</v>
      </c>
      <c r="AA109" s="13" t="s">
        <v>244</v>
      </c>
      <c r="AC109" t="s">
        <v>237</v>
      </c>
      <c r="AD109" s="13" t="s">
        <v>244</v>
      </c>
      <c r="AF109" t="s">
        <v>233</v>
      </c>
      <c r="AG109" s="13" t="s">
        <v>244</v>
      </c>
      <c r="AI109" t="s">
        <v>186</v>
      </c>
      <c r="AJ109" s="13" t="s">
        <v>244</v>
      </c>
    </row>
    <row r="110" spans="2:36">
      <c r="B110">
        <f>IF(B109=Kalkulator!$D$12,'Marża ER'!C108,0)</f>
        <v>0</v>
      </c>
      <c r="C110" s="13">
        <f>IF(C109=Kalkulator!$D$16,'Marża ER'!B110,0)</f>
        <v>0</v>
      </c>
      <c r="E110">
        <f>IF(E109=Kalkulator!$D$12,'Marża ER'!F108,0)</f>
        <v>0</v>
      </c>
      <c r="F110" s="13">
        <f>IF(F109=Kalkulator!$D$16,'Marża ER'!E110,0)</f>
        <v>0</v>
      </c>
      <c r="H110">
        <f>IF(H109=Kalkulator!$D$12,'Marża ER'!I108,0)</f>
        <v>0</v>
      </c>
      <c r="I110" s="13">
        <f>IF(I109=Kalkulator!$D$16,'Marża ER'!H110,0)</f>
        <v>0</v>
      </c>
      <c r="K110">
        <f>IF(K109=Kalkulator!$D$12,'Marża ER'!L108,0)</f>
        <v>0</v>
      </c>
      <c r="L110" s="13">
        <f>IF(L109=Kalkulator!$D$16,'Marża ER'!K110,0)</f>
        <v>0</v>
      </c>
      <c r="N110">
        <f>IF(N109=Kalkulator!$D$12,'Marża ER'!O108,0)</f>
        <v>0</v>
      </c>
      <c r="O110" s="13">
        <f>IF(O109=Kalkulator!$D$16,'Marża ER'!N110,0)</f>
        <v>0</v>
      </c>
      <c r="Q110">
        <f>IF(Q109=Kalkulator!$D$12,'Marża ER'!R108,0)</f>
        <v>7203.885999999995</v>
      </c>
      <c r="R110" s="13">
        <f>IF(R109=Kalkulator!$D$16,'Marża ER'!Q110,0)</f>
        <v>7203.885999999995</v>
      </c>
      <c r="T110">
        <f>IF(T109=Kalkulator!$D$12,'Marża ER'!U108,0)</f>
        <v>0</v>
      </c>
      <c r="U110" s="13">
        <f>IF(U109=Kalkulator!$D$16,'Marża ER'!T110,0)</f>
        <v>0</v>
      </c>
      <c r="W110">
        <f>IF(W109=Kalkulator!$D$12,'Marża ER'!X108,0)</f>
        <v>0</v>
      </c>
      <c r="X110" s="13">
        <f>IF(X109=Kalkulator!$D$16,'Marża ER'!W110,0)</f>
        <v>0</v>
      </c>
      <c r="Z110">
        <f>IF(Z109=Kalkulator!$D$12,'Marża ER'!AA108,0)</f>
        <v>0</v>
      </c>
      <c r="AA110" s="13">
        <f>IF(AA109=Kalkulator!$D$16,'Marża ER'!Z110,0)</f>
        <v>0</v>
      </c>
      <c r="AC110">
        <f>IF(AC109=Kalkulator!$D$12,'Marża ER'!AD108,0)</f>
        <v>0</v>
      </c>
      <c r="AD110" s="13">
        <f>IF(AD109=Kalkulator!$D$16,'Marża ER'!AC110,0)</f>
        <v>0</v>
      </c>
      <c r="AF110">
        <f>IF(AF109=Kalkulator!$D$12,'Marża ER'!AG108,0)</f>
        <v>0</v>
      </c>
      <c r="AG110" s="13">
        <f>IF(AG109=Kalkulator!$D$16,'Marża ER'!AF110,0)</f>
        <v>0</v>
      </c>
      <c r="AI110">
        <f>IF(AI109=Kalkulator!$D$12,'Marża ER'!AJ108,0)</f>
        <v>0</v>
      </c>
      <c r="AJ110" s="13">
        <f>IF(AJ109=Kalkulator!$D$16,'Marża ER'!AI110,0)</f>
        <v>0</v>
      </c>
    </row>
  </sheetData>
  <sheetProtection algorithmName="SHA-512" hashValue="ciDJ/IFf97rRDty0yQDUEsjtneMmvbGo/1gPG43ZIMj7/3m+h813jIUa0YjnqSfqbfWawfE3NUWyGwoMMdsfNQ==" saltValue="Pl+QV0vmkFh7szPZ0klOSw==" spinCount="100000" sheet="1" objects="1" scenarios="1"/>
  <mergeCells count="12">
    <mergeCell ref="AH1:AJ1"/>
    <mergeCell ref="S1:U1"/>
    <mergeCell ref="P1:R1"/>
    <mergeCell ref="V1:X1"/>
    <mergeCell ref="Y1:AA1"/>
    <mergeCell ref="AB1:AD1"/>
    <mergeCell ref="AE1:AG1"/>
    <mergeCell ref="A1:C1"/>
    <mergeCell ref="D1:F1"/>
    <mergeCell ref="G1:I1"/>
    <mergeCell ref="J1:L1"/>
    <mergeCell ref="M1:O1"/>
  </mergeCells>
  <conditionalFormatting sqref="A1:AK112">
    <cfRule type="expression" dxfId="4" priority="1">
      <formula>$Y$50&lt;&gt;-1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796C3-2161-4C60-8C88-8DE741893CEB}">
  <sheetPr codeName="Arkusz8"/>
  <dimension ref="A1:AJ111"/>
  <sheetViews>
    <sheetView zoomScale="70" zoomScaleNormal="70" workbookViewId="0">
      <selection activeCell="B10" sqref="B10"/>
    </sheetView>
  </sheetViews>
  <sheetFormatPr defaultRowHeight="14.4"/>
  <cols>
    <col min="3" max="3" width="25.33203125" style="13" customWidth="1"/>
    <col min="4" max="5" width="8.88671875" customWidth="1"/>
    <col min="6" max="6" width="23" style="13" customWidth="1"/>
    <col min="7" max="8" width="8.88671875" customWidth="1"/>
    <col min="9" max="9" width="27.6640625" style="13" customWidth="1"/>
    <col min="12" max="12" width="30.33203125" style="13" customWidth="1"/>
    <col min="15" max="15" width="24" style="13" customWidth="1"/>
    <col min="18" max="18" width="30.44140625" customWidth="1"/>
    <col min="21" max="21" width="30.44140625" customWidth="1"/>
    <col min="24" max="24" width="30.44140625" customWidth="1"/>
    <col min="27" max="27" width="30.44140625" customWidth="1"/>
    <col min="30" max="30" width="30.44140625" customWidth="1"/>
    <col min="33" max="33" width="30.44140625" customWidth="1"/>
    <col min="36" max="36" width="30.44140625" customWidth="1"/>
  </cols>
  <sheetData>
    <row r="1" spans="1:36">
      <c r="A1">
        <f>Obliczenia!$D$1</f>
        <v>3.1850000000000001</v>
      </c>
      <c r="R1" s="13"/>
      <c r="U1" s="13"/>
      <c r="X1" s="13"/>
      <c r="AA1" s="13"/>
      <c r="AD1" s="13"/>
      <c r="AG1" s="13"/>
      <c r="AJ1" s="13"/>
    </row>
    <row r="2" spans="1:36">
      <c r="A2" s="75" t="s">
        <v>132</v>
      </c>
      <c r="B2" s="75"/>
      <c r="C2" s="75"/>
      <c r="D2" s="75" t="s">
        <v>86</v>
      </c>
      <c r="E2" s="75"/>
      <c r="F2" s="75"/>
      <c r="G2" s="75" t="s">
        <v>133</v>
      </c>
      <c r="H2" s="75"/>
      <c r="I2" s="75"/>
      <c r="J2" s="77" t="s">
        <v>134</v>
      </c>
      <c r="K2" s="77"/>
      <c r="L2" s="77"/>
      <c r="M2" s="75" t="s">
        <v>87</v>
      </c>
      <c r="N2" s="75"/>
      <c r="O2" s="75"/>
      <c r="P2" s="75" t="s">
        <v>234</v>
      </c>
      <c r="Q2" s="75"/>
      <c r="R2" s="75"/>
      <c r="S2" s="75" t="s">
        <v>235</v>
      </c>
      <c r="T2" s="75"/>
      <c r="U2" s="75"/>
      <c r="V2" s="75" t="s">
        <v>188</v>
      </c>
      <c r="W2" s="75"/>
      <c r="X2" s="75"/>
      <c r="Y2" s="75" t="s">
        <v>236</v>
      </c>
      <c r="Z2" s="75"/>
      <c r="AA2" s="75"/>
      <c r="AB2" s="75" t="s">
        <v>237</v>
      </c>
      <c r="AC2" s="75"/>
      <c r="AD2" s="75"/>
      <c r="AE2" s="75" t="s">
        <v>233</v>
      </c>
      <c r="AF2" s="75"/>
      <c r="AG2" s="75"/>
      <c r="AH2" t="s">
        <v>186</v>
      </c>
    </row>
    <row r="3" spans="1:36">
      <c r="A3">
        <v>0</v>
      </c>
      <c r="B3">
        <v>6.88</v>
      </c>
      <c r="C3" s="13">
        <v>4500</v>
      </c>
      <c r="D3">
        <v>0</v>
      </c>
      <c r="E3">
        <v>5.7</v>
      </c>
      <c r="F3" s="13">
        <v>4500</v>
      </c>
      <c r="G3">
        <v>0</v>
      </c>
      <c r="H3">
        <v>3.01</v>
      </c>
      <c r="I3" s="13">
        <v>5000</v>
      </c>
      <c r="J3">
        <v>0</v>
      </c>
      <c r="K3">
        <v>4.5</v>
      </c>
      <c r="L3" s="13">
        <v>5000</v>
      </c>
      <c r="M3">
        <v>0</v>
      </c>
      <c r="N3">
        <v>4.2</v>
      </c>
      <c r="O3" s="13">
        <v>5500</v>
      </c>
      <c r="P3">
        <v>0</v>
      </c>
      <c r="Q3" s="42">
        <v>3.1850000000000001</v>
      </c>
      <c r="R3" s="13">
        <v>13000</v>
      </c>
      <c r="S3">
        <v>0</v>
      </c>
      <c r="T3" s="42">
        <v>3.1850000000000001</v>
      </c>
      <c r="U3" s="13">
        <v>13000</v>
      </c>
      <c r="V3">
        <v>0</v>
      </c>
      <c r="W3" s="42">
        <v>3</v>
      </c>
      <c r="X3" s="13">
        <v>13000</v>
      </c>
      <c r="Y3">
        <v>0</v>
      </c>
      <c r="Z3" s="42">
        <v>3.1850000000000001</v>
      </c>
      <c r="AA3" s="13">
        <v>13000</v>
      </c>
      <c r="AB3">
        <v>0</v>
      </c>
      <c r="AC3" s="42">
        <v>3.1850000000000001</v>
      </c>
      <c r="AD3" s="13">
        <v>13000</v>
      </c>
      <c r="AE3">
        <v>0</v>
      </c>
      <c r="AF3" s="42">
        <v>3.1850000000000001</v>
      </c>
      <c r="AG3" s="13">
        <v>1300</v>
      </c>
      <c r="AH3">
        <v>0</v>
      </c>
      <c r="AI3" s="42">
        <f t="shared" ref="AI3:AI16" si="0">SUM(AI2,0.455)</f>
        <v>0.45500000000000002</v>
      </c>
      <c r="AJ3" s="13">
        <v>9730.1414999999979</v>
      </c>
    </row>
    <row r="4" spans="1:36">
      <c r="A4">
        <v>6.8810000000000002</v>
      </c>
      <c r="B4">
        <v>12.47</v>
      </c>
      <c r="C4" s="13">
        <v>5000</v>
      </c>
      <c r="D4">
        <v>5.71</v>
      </c>
      <c r="E4">
        <v>9.9</v>
      </c>
      <c r="F4" s="13">
        <v>5000</v>
      </c>
      <c r="G4">
        <f t="shared" ref="G4:G8" si="1">H3+0.001</f>
        <v>3.0109999999999997</v>
      </c>
      <c r="H4">
        <v>3.44</v>
      </c>
      <c r="I4" s="13">
        <v>5500</v>
      </c>
      <c r="J4">
        <f t="shared" ref="J4:J17" si="2">K3+0.001</f>
        <v>4.5010000000000003</v>
      </c>
      <c r="K4">
        <v>4.95</v>
      </c>
      <c r="L4" s="13">
        <v>5500</v>
      </c>
      <c r="M4">
        <v>4.21</v>
      </c>
      <c r="N4">
        <v>7.2</v>
      </c>
      <c r="O4" s="13">
        <v>6000</v>
      </c>
      <c r="P4">
        <f t="shared" ref="P4:P16" si="3">Q3+0.001</f>
        <v>3.1859999999999999</v>
      </c>
      <c r="Q4">
        <v>3.64</v>
      </c>
      <c r="R4" s="13">
        <v>13000</v>
      </c>
      <c r="S4">
        <f t="shared" ref="S4:S16" si="4">T3+0.001</f>
        <v>3.1859999999999999</v>
      </c>
      <c r="T4">
        <v>3.64</v>
      </c>
      <c r="U4" s="13">
        <v>13000</v>
      </c>
      <c r="X4" s="13"/>
      <c r="Y4">
        <f t="shared" ref="Y4:Y16" si="5">Z3+0.001</f>
        <v>3.1859999999999999</v>
      </c>
      <c r="Z4">
        <v>3.64</v>
      </c>
      <c r="AA4" s="13">
        <v>13000</v>
      </c>
      <c r="AB4">
        <f t="shared" ref="AB4:AB16" si="6">AC3+0.001</f>
        <v>3.1859999999999999</v>
      </c>
      <c r="AC4">
        <v>3.64</v>
      </c>
      <c r="AD4" s="13">
        <v>13000</v>
      </c>
      <c r="AE4">
        <f t="shared" ref="AE4:AE16" si="7">AF3+0.001</f>
        <v>3.1859999999999999</v>
      </c>
      <c r="AF4">
        <v>3.64</v>
      </c>
      <c r="AG4" s="13">
        <v>1300</v>
      </c>
      <c r="AH4">
        <f t="shared" ref="AH4:AH16" si="8">AI3+0.001</f>
        <v>0.45600000000000002</v>
      </c>
      <c r="AI4">
        <f t="shared" si="0"/>
        <v>0.91</v>
      </c>
      <c r="AJ4" s="13">
        <v>10015.175999999999</v>
      </c>
    </row>
    <row r="5" spans="1:36">
      <c r="A5">
        <v>12.471</v>
      </c>
      <c r="B5">
        <v>15.05</v>
      </c>
      <c r="C5" s="13">
        <v>5500</v>
      </c>
      <c r="D5">
        <v>9.91</v>
      </c>
      <c r="E5">
        <v>20.7</v>
      </c>
      <c r="F5" s="13">
        <v>5500</v>
      </c>
      <c r="G5">
        <f t="shared" si="1"/>
        <v>3.4409999999999998</v>
      </c>
      <c r="H5">
        <v>3.87</v>
      </c>
      <c r="I5" s="13">
        <v>6500</v>
      </c>
      <c r="J5">
        <f t="shared" si="2"/>
        <v>4.9510000000000005</v>
      </c>
      <c r="K5">
        <v>5.85</v>
      </c>
      <c r="L5" s="13">
        <v>6000</v>
      </c>
      <c r="M5">
        <v>7.21</v>
      </c>
      <c r="N5">
        <v>10.8</v>
      </c>
      <c r="O5" s="13">
        <v>6500</v>
      </c>
      <c r="P5">
        <f t="shared" si="3"/>
        <v>3.641</v>
      </c>
      <c r="Q5">
        <v>4.0949999999999998</v>
      </c>
      <c r="R5" s="13">
        <v>13000</v>
      </c>
      <c r="S5">
        <f t="shared" si="4"/>
        <v>3.641</v>
      </c>
      <c r="T5">
        <v>4.0949999999999998</v>
      </c>
      <c r="U5" s="13">
        <v>13000</v>
      </c>
      <c r="X5" s="13"/>
      <c r="Y5">
        <f t="shared" si="5"/>
        <v>3.641</v>
      </c>
      <c r="Z5">
        <v>4.0949999999999998</v>
      </c>
      <c r="AA5" s="13">
        <v>13000</v>
      </c>
      <c r="AB5">
        <f t="shared" si="6"/>
        <v>3.641</v>
      </c>
      <c r="AC5">
        <v>4.0949999999999998</v>
      </c>
      <c r="AD5" s="13">
        <v>13000</v>
      </c>
      <c r="AE5">
        <f t="shared" si="7"/>
        <v>3.641</v>
      </c>
      <c r="AF5">
        <v>4.0949999999999998</v>
      </c>
      <c r="AG5" s="13">
        <v>1300</v>
      </c>
      <c r="AH5">
        <f t="shared" si="8"/>
        <v>0.91100000000000003</v>
      </c>
      <c r="AI5">
        <f t="shared" si="0"/>
        <v>1.365</v>
      </c>
      <c r="AJ5" s="13">
        <v>10180.210500000001</v>
      </c>
    </row>
    <row r="6" spans="1:36">
      <c r="A6">
        <f>B5+0.001</f>
        <v>15.051</v>
      </c>
      <c r="B6">
        <v>17.2</v>
      </c>
      <c r="C6" s="13">
        <v>6500</v>
      </c>
      <c r="D6">
        <v>20.71</v>
      </c>
      <c r="E6">
        <v>30</v>
      </c>
      <c r="F6" s="13">
        <v>6000</v>
      </c>
      <c r="G6">
        <f t="shared" si="1"/>
        <v>3.871</v>
      </c>
      <c r="H6">
        <v>6.88</v>
      </c>
      <c r="I6" s="13">
        <v>7000</v>
      </c>
      <c r="J6">
        <f t="shared" si="2"/>
        <v>5.851</v>
      </c>
      <c r="K6">
        <v>6.3</v>
      </c>
      <c r="L6" s="13">
        <v>6500</v>
      </c>
      <c r="M6">
        <v>10.81</v>
      </c>
      <c r="N6">
        <v>15</v>
      </c>
      <c r="O6" s="13">
        <v>7000</v>
      </c>
      <c r="P6">
        <f t="shared" si="3"/>
        <v>4.0960000000000001</v>
      </c>
      <c r="Q6">
        <v>4.55</v>
      </c>
      <c r="R6" s="13">
        <v>13000</v>
      </c>
      <c r="S6">
        <f t="shared" si="4"/>
        <v>4.0960000000000001</v>
      </c>
      <c r="T6">
        <v>4.55</v>
      </c>
      <c r="U6" s="13">
        <v>13000</v>
      </c>
      <c r="X6" s="13"/>
      <c r="Y6">
        <f t="shared" si="5"/>
        <v>4.0960000000000001</v>
      </c>
      <c r="Z6">
        <v>4.55</v>
      </c>
      <c r="AA6" s="13">
        <v>13000</v>
      </c>
      <c r="AB6">
        <f t="shared" si="6"/>
        <v>4.0960000000000001</v>
      </c>
      <c r="AC6">
        <v>4.55</v>
      </c>
      <c r="AD6" s="13">
        <v>13000</v>
      </c>
      <c r="AE6">
        <f t="shared" si="7"/>
        <v>4.0960000000000001</v>
      </c>
      <c r="AF6">
        <v>4.55</v>
      </c>
      <c r="AG6" s="13">
        <v>1300</v>
      </c>
      <c r="AH6">
        <f t="shared" si="8"/>
        <v>1.3659999999999999</v>
      </c>
      <c r="AI6">
        <f t="shared" si="0"/>
        <v>1.82</v>
      </c>
      <c r="AJ6" s="13">
        <v>10370.145000000004</v>
      </c>
    </row>
    <row r="7" spans="1:36">
      <c r="A7">
        <f t="shared" ref="A7:A9" si="9">B6+0.001</f>
        <v>17.201000000000001</v>
      </c>
      <c r="B7">
        <v>19.78</v>
      </c>
      <c r="C7" s="13">
        <v>7000</v>
      </c>
      <c r="D7">
        <v>30.01</v>
      </c>
      <c r="E7">
        <v>50</v>
      </c>
      <c r="F7" s="13">
        <v>6500</v>
      </c>
      <c r="G7">
        <f t="shared" si="1"/>
        <v>6.8810000000000002</v>
      </c>
      <c r="H7">
        <v>13.33</v>
      </c>
      <c r="I7" s="13">
        <v>7500</v>
      </c>
      <c r="J7">
        <f t="shared" si="2"/>
        <v>6.3010000000000002</v>
      </c>
      <c r="K7">
        <v>6.75</v>
      </c>
      <c r="L7" s="13">
        <v>6000</v>
      </c>
      <c r="M7">
        <v>15.01</v>
      </c>
      <c r="N7">
        <v>20</v>
      </c>
      <c r="O7" s="13">
        <v>7500</v>
      </c>
      <c r="P7">
        <f t="shared" si="3"/>
        <v>4.5510000000000002</v>
      </c>
      <c r="Q7">
        <v>5.0049999999999999</v>
      </c>
      <c r="R7" s="13">
        <v>13000</v>
      </c>
      <c r="S7">
        <f t="shared" si="4"/>
        <v>4.5510000000000002</v>
      </c>
      <c r="T7">
        <v>5.0049999999999999</v>
      </c>
      <c r="U7" s="13">
        <v>13000</v>
      </c>
      <c r="X7" s="13"/>
      <c r="Y7">
        <f t="shared" si="5"/>
        <v>4.5510000000000002</v>
      </c>
      <c r="Z7">
        <v>5.0049999999999999</v>
      </c>
      <c r="AA7" s="13">
        <v>13000</v>
      </c>
      <c r="AB7">
        <f t="shared" si="6"/>
        <v>4.5510000000000002</v>
      </c>
      <c r="AC7">
        <v>5.0049999999999999</v>
      </c>
      <c r="AD7" s="13">
        <v>13000</v>
      </c>
      <c r="AE7">
        <f t="shared" si="7"/>
        <v>4.5510000000000002</v>
      </c>
      <c r="AF7">
        <v>5.0049999999999999</v>
      </c>
      <c r="AG7" s="13">
        <v>1300</v>
      </c>
      <c r="AH7">
        <f t="shared" si="8"/>
        <v>1.821</v>
      </c>
      <c r="AI7">
        <f t="shared" si="0"/>
        <v>2.2749999999999999</v>
      </c>
      <c r="AJ7" s="13">
        <v>10460.104500000001</v>
      </c>
    </row>
    <row r="8" spans="1:36">
      <c r="A8">
        <f t="shared" si="9"/>
        <v>19.781000000000002</v>
      </c>
      <c r="B8">
        <v>24.94</v>
      </c>
      <c r="C8" s="13">
        <v>7500</v>
      </c>
      <c r="G8">
        <f t="shared" si="1"/>
        <v>13.331</v>
      </c>
      <c r="H8">
        <v>20</v>
      </c>
      <c r="I8" s="13">
        <v>8500</v>
      </c>
      <c r="J8">
        <f t="shared" si="2"/>
        <v>6.7510000000000003</v>
      </c>
      <c r="K8">
        <v>8.1</v>
      </c>
      <c r="L8" s="13">
        <v>6500</v>
      </c>
      <c r="P8">
        <f t="shared" si="3"/>
        <v>5.0060000000000002</v>
      </c>
      <c r="Q8">
        <v>5.46</v>
      </c>
      <c r="R8" s="13">
        <v>13000</v>
      </c>
      <c r="S8">
        <f t="shared" si="4"/>
        <v>5.0060000000000002</v>
      </c>
      <c r="T8">
        <v>5.46</v>
      </c>
      <c r="U8" s="13">
        <v>13000</v>
      </c>
      <c r="X8" s="13"/>
      <c r="Y8">
        <f t="shared" si="5"/>
        <v>5.0060000000000002</v>
      </c>
      <c r="Z8">
        <v>5.46</v>
      </c>
      <c r="AA8" s="13">
        <v>13000</v>
      </c>
      <c r="AB8">
        <f t="shared" si="6"/>
        <v>5.0060000000000002</v>
      </c>
      <c r="AC8">
        <v>5.46</v>
      </c>
      <c r="AD8" s="13">
        <v>13000</v>
      </c>
      <c r="AE8">
        <f t="shared" si="7"/>
        <v>5.0060000000000002</v>
      </c>
      <c r="AF8">
        <v>5.46</v>
      </c>
      <c r="AG8" s="13">
        <v>1300</v>
      </c>
      <c r="AH8">
        <f t="shared" si="8"/>
        <v>2.2759999999999998</v>
      </c>
      <c r="AI8">
        <f t="shared" si="0"/>
        <v>2.73</v>
      </c>
      <c r="AJ8" s="13">
        <v>10618.313999999998</v>
      </c>
    </row>
    <row r="9" spans="1:36">
      <c r="A9">
        <f t="shared" si="9"/>
        <v>24.941000000000003</v>
      </c>
      <c r="B9">
        <v>50</v>
      </c>
      <c r="C9" s="13">
        <v>9000</v>
      </c>
      <c r="J9">
        <f t="shared" si="2"/>
        <v>8.1009999999999991</v>
      </c>
      <c r="K9">
        <v>9</v>
      </c>
      <c r="L9" s="13">
        <v>6000</v>
      </c>
      <c r="P9">
        <f t="shared" si="3"/>
        <v>5.4610000000000003</v>
      </c>
      <c r="Q9">
        <v>5.915</v>
      </c>
      <c r="R9" s="13">
        <v>13000</v>
      </c>
      <c r="S9">
        <f t="shared" si="4"/>
        <v>5.4610000000000003</v>
      </c>
      <c r="T9">
        <v>5.915</v>
      </c>
      <c r="U9" s="13">
        <v>13000</v>
      </c>
      <c r="X9" s="13"/>
      <c r="Y9">
        <f t="shared" si="5"/>
        <v>5.4610000000000003</v>
      </c>
      <c r="Z9">
        <v>5.915</v>
      </c>
      <c r="AA9" s="13">
        <v>13000</v>
      </c>
      <c r="AB9">
        <f t="shared" si="6"/>
        <v>5.4610000000000003</v>
      </c>
      <c r="AC9">
        <v>5.915</v>
      </c>
      <c r="AD9" s="13">
        <v>13000</v>
      </c>
      <c r="AE9">
        <f t="shared" si="7"/>
        <v>5.4610000000000003</v>
      </c>
      <c r="AF9">
        <v>5.915</v>
      </c>
      <c r="AG9" s="13">
        <v>1300</v>
      </c>
      <c r="AH9">
        <f t="shared" si="8"/>
        <v>2.7309999999999999</v>
      </c>
      <c r="AI9">
        <f t="shared" si="0"/>
        <v>3.1850000000000001</v>
      </c>
      <c r="AJ9" s="13">
        <v>10776.523500000003</v>
      </c>
    </row>
    <row r="10" spans="1:36">
      <c r="J10">
        <f t="shared" si="2"/>
        <v>9.0009999999999994</v>
      </c>
      <c r="K10">
        <v>9.9</v>
      </c>
      <c r="L10" s="13">
        <v>6500</v>
      </c>
      <c r="P10">
        <f t="shared" si="3"/>
        <v>5.9160000000000004</v>
      </c>
      <c r="Q10">
        <v>6.37</v>
      </c>
      <c r="R10" s="13">
        <v>13000</v>
      </c>
      <c r="S10">
        <f t="shared" si="4"/>
        <v>5.9160000000000004</v>
      </c>
      <c r="T10">
        <v>6.37</v>
      </c>
      <c r="U10" s="13">
        <v>13000</v>
      </c>
      <c r="X10" s="13"/>
      <c r="Y10">
        <f t="shared" si="5"/>
        <v>5.9160000000000004</v>
      </c>
      <c r="Z10">
        <v>6.37</v>
      </c>
      <c r="AA10" s="13">
        <v>13000</v>
      </c>
      <c r="AB10">
        <f t="shared" si="6"/>
        <v>5.9160000000000004</v>
      </c>
      <c r="AC10">
        <v>6.37</v>
      </c>
      <c r="AD10" s="13">
        <v>13000</v>
      </c>
      <c r="AE10">
        <f t="shared" si="7"/>
        <v>5.9160000000000004</v>
      </c>
      <c r="AF10">
        <v>6.37</v>
      </c>
      <c r="AG10" s="13">
        <v>1300</v>
      </c>
      <c r="AH10">
        <f t="shared" si="8"/>
        <v>3.1859999999999999</v>
      </c>
      <c r="AI10">
        <f t="shared" si="0"/>
        <v>3.64</v>
      </c>
      <c r="AJ10" s="13">
        <v>10934.733</v>
      </c>
    </row>
    <row r="11" spans="1:36">
      <c r="J11">
        <f t="shared" si="2"/>
        <v>9.9009999999999998</v>
      </c>
      <c r="K11">
        <v>11.25</v>
      </c>
      <c r="L11" s="13">
        <v>7000</v>
      </c>
      <c r="P11">
        <f t="shared" si="3"/>
        <v>6.3710000000000004</v>
      </c>
      <c r="Q11">
        <v>6.8250000000000002</v>
      </c>
      <c r="R11" s="13">
        <v>13000</v>
      </c>
      <c r="S11">
        <f t="shared" si="4"/>
        <v>6.3710000000000004</v>
      </c>
      <c r="T11">
        <v>6.8250000000000002</v>
      </c>
      <c r="U11" s="13">
        <v>13000</v>
      </c>
      <c r="X11" s="13"/>
      <c r="Y11">
        <f t="shared" si="5"/>
        <v>6.3710000000000004</v>
      </c>
      <c r="Z11">
        <v>6.8250000000000002</v>
      </c>
      <c r="AA11" s="13">
        <v>13000</v>
      </c>
      <c r="AB11">
        <f t="shared" si="6"/>
        <v>6.3710000000000004</v>
      </c>
      <c r="AC11">
        <v>6.8250000000000002</v>
      </c>
      <c r="AD11" s="13">
        <v>13000</v>
      </c>
      <c r="AE11">
        <f t="shared" si="7"/>
        <v>6.3710000000000004</v>
      </c>
      <c r="AF11">
        <v>6.8250000000000002</v>
      </c>
      <c r="AG11" s="13">
        <v>1300</v>
      </c>
      <c r="AH11">
        <f t="shared" si="8"/>
        <v>3.641</v>
      </c>
      <c r="AI11">
        <f t="shared" si="0"/>
        <v>4.0949999999999998</v>
      </c>
      <c r="AJ11" s="13">
        <v>11113.642500000002</v>
      </c>
    </row>
    <row r="12" spans="1:36">
      <c r="J12">
        <f t="shared" si="2"/>
        <v>11.250999999999999</v>
      </c>
      <c r="K12">
        <v>11.7</v>
      </c>
      <c r="L12" s="13">
        <v>7500</v>
      </c>
      <c r="P12">
        <f t="shared" si="3"/>
        <v>6.8260000000000005</v>
      </c>
      <c r="Q12">
        <v>7.28</v>
      </c>
      <c r="R12" s="13">
        <v>13000</v>
      </c>
      <c r="S12">
        <f t="shared" si="4"/>
        <v>6.8260000000000005</v>
      </c>
      <c r="T12">
        <v>7.28</v>
      </c>
      <c r="U12" s="13">
        <v>13000</v>
      </c>
      <c r="X12" s="13"/>
      <c r="Y12">
        <f t="shared" si="5"/>
        <v>6.8260000000000005</v>
      </c>
      <c r="Z12">
        <v>7.28</v>
      </c>
      <c r="AA12" s="13">
        <v>13000</v>
      </c>
      <c r="AB12">
        <f t="shared" si="6"/>
        <v>6.8260000000000005</v>
      </c>
      <c r="AC12">
        <v>7.28</v>
      </c>
      <c r="AD12" s="13">
        <v>13000</v>
      </c>
      <c r="AE12">
        <f t="shared" si="7"/>
        <v>6.8260000000000005</v>
      </c>
      <c r="AF12">
        <v>7.28</v>
      </c>
      <c r="AG12" s="13">
        <v>1300</v>
      </c>
      <c r="AH12">
        <f t="shared" si="8"/>
        <v>4.0960000000000001</v>
      </c>
      <c r="AI12">
        <f t="shared" si="0"/>
        <v>4.55</v>
      </c>
      <c r="AJ12">
        <v>11451.851999999999</v>
      </c>
    </row>
    <row r="13" spans="1:36">
      <c r="J13">
        <f t="shared" si="2"/>
        <v>11.700999999999999</v>
      </c>
      <c r="K13">
        <v>13.95</v>
      </c>
      <c r="L13" s="13">
        <v>7000</v>
      </c>
      <c r="P13">
        <f t="shared" si="3"/>
        <v>7.2810000000000006</v>
      </c>
      <c r="Q13">
        <v>7.7350000000000003</v>
      </c>
      <c r="R13" s="13">
        <v>13000</v>
      </c>
      <c r="S13">
        <f t="shared" si="4"/>
        <v>7.2810000000000006</v>
      </c>
      <c r="T13">
        <v>7.7350000000000003</v>
      </c>
      <c r="U13" s="13">
        <v>13000</v>
      </c>
      <c r="X13" s="13"/>
      <c r="Y13">
        <f t="shared" si="5"/>
        <v>7.2810000000000006</v>
      </c>
      <c r="Z13">
        <v>7.7350000000000003</v>
      </c>
      <c r="AA13" s="13">
        <v>13000</v>
      </c>
      <c r="AB13">
        <f t="shared" si="6"/>
        <v>7.2810000000000006</v>
      </c>
      <c r="AC13">
        <v>7.7350000000000003</v>
      </c>
      <c r="AD13" s="13">
        <v>13000</v>
      </c>
      <c r="AE13">
        <f t="shared" si="7"/>
        <v>7.2810000000000006</v>
      </c>
      <c r="AF13">
        <v>7.7350000000000003</v>
      </c>
      <c r="AG13" s="13">
        <v>1300</v>
      </c>
      <c r="AH13">
        <f t="shared" si="8"/>
        <v>4.5510000000000002</v>
      </c>
      <c r="AI13">
        <f t="shared" si="0"/>
        <v>5.0049999999999999</v>
      </c>
      <c r="AJ13">
        <v>11610.061500000003</v>
      </c>
    </row>
    <row r="14" spans="1:36">
      <c r="J14">
        <f t="shared" si="2"/>
        <v>13.950999999999999</v>
      </c>
      <c r="K14">
        <v>14.4</v>
      </c>
      <c r="L14" s="13">
        <v>8000</v>
      </c>
      <c r="P14">
        <f t="shared" si="3"/>
        <v>7.7360000000000007</v>
      </c>
      <c r="Q14">
        <v>8.19</v>
      </c>
      <c r="R14" s="13">
        <v>13000</v>
      </c>
      <c r="S14">
        <f t="shared" si="4"/>
        <v>7.7360000000000007</v>
      </c>
      <c r="T14">
        <v>8.19</v>
      </c>
      <c r="U14" s="13">
        <v>13000</v>
      </c>
      <c r="X14" s="13"/>
      <c r="Y14">
        <f t="shared" si="5"/>
        <v>7.7360000000000007</v>
      </c>
      <c r="Z14">
        <v>8.19</v>
      </c>
      <c r="AA14" s="13">
        <v>13000</v>
      </c>
      <c r="AB14">
        <f t="shared" si="6"/>
        <v>7.7360000000000007</v>
      </c>
      <c r="AC14">
        <v>8.19</v>
      </c>
      <c r="AD14" s="13">
        <v>13000</v>
      </c>
      <c r="AE14">
        <f t="shared" si="7"/>
        <v>7.7360000000000007</v>
      </c>
      <c r="AF14">
        <v>8.19</v>
      </c>
      <c r="AG14" s="13">
        <v>1300</v>
      </c>
      <c r="AH14">
        <f t="shared" si="8"/>
        <v>5.0060000000000002</v>
      </c>
      <c r="AI14">
        <f t="shared" si="0"/>
        <v>5.46</v>
      </c>
      <c r="AJ14">
        <v>11768.271000000001</v>
      </c>
    </row>
    <row r="15" spans="1:36">
      <c r="J15">
        <f t="shared" si="2"/>
        <v>14.401</v>
      </c>
      <c r="K15">
        <v>16.2</v>
      </c>
      <c r="L15" s="13">
        <v>9500</v>
      </c>
      <c r="P15">
        <f t="shared" si="3"/>
        <v>8.1909999999999989</v>
      </c>
      <c r="Q15">
        <v>8.6449999999999996</v>
      </c>
      <c r="R15" s="13">
        <v>13000</v>
      </c>
      <c r="S15">
        <f t="shared" si="4"/>
        <v>8.1909999999999989</v>
      </c>
      <c r="T15">
        <v>8.6449999999999996</v>
      </c>
      <c r="U15" s="13">
        <v>13000</v>
      </c>
      <c r="X15" s="13"/>
      <c r="Y15">
        <f t="shared" si="5"/>
        <v>8.1909999999999989</v>
      </c>
      <c r="Z15">
        <v>8.6449999999999996</v>
      </c>
      <c r="AA15" s="13">
        <v>13000</v>
      </c>
      <c r="AB15">
        <f t="shared" si="6"/>
        <v>8.1909999999999989</v>
      </c>
      <c r="AC15">
        <v>8.6449999999999996</v>
      </c>
      <c r="AD15" s="13">
        <v>13000</v>
      </c>
      <c r="AE15">
        <f t="shared" si="7"/>
        <v>8.1909999999999989</v>
      </c>
      <c r="AF15">
        <v>8.6449999999999996</v>
      </c>
      <c r="AG15" s="13">
        <v>1300</v>
      </c>
      <c r="AH15">
        <f t="shared" si="8"/>
        <v>5.4610000000000003</v>
      </c>
      <c r="AI15">
        <f t="shared" si="0"/>
        <v>5.915</v>
      </c>
      <c r="AJ15">
        <v>11926.480499999998</v>
      </c>
    </row>
    <row r="16" spans="1:36">
      <c r="J16">
        <f t="shared" si="2"/>
        <v>16.201000000000001</v>
      </c>
      <c r="K16">
        <v>18.899999999999999</v>
      </c>
      <c r="L16" s="13">
        <v>9300</v>
      </c>
      <c r="P16">
        <f t="shared" si="3"/>
        <v>8.645999999999999</v>
      </c>
      <c r="Q16">
        <v>9.1</v>
      </c>
      <c r="R16" s="13">
        <v>13000</v>
      </c>
      <c r="S16">
        <f t="shared" si="4"/>
        <v>8.645999999999999</v>
      </c>
      <c r="T16">
        <v>9.1</v>
      </c>
      <c r="U16" s="13">
        <v>13000</v>
      </c>
      <c r="X16" s="13"/>
      <c r="Y16">
        <f t="shared" si="5"/>
        <v>8.645999999999999</v>
      </c>
      <c r="Z16">
        <v>9.1</v>
      </c>
      <c r="AA16" s="13">
        <v>13000</v>
      </c>
      <c r="AB16">
        <f t="shared" si="6"/>
        <v>8.645999999999999</v>
      </c>
      <c r="AC16">
        <v>9.1</v>
      </c>
      <c r="AD16" s="13">
        <v>13000</v>
      </c>
      <c r="AE16">
        <f t="shared" si="7"/>
        <v>8.645999999999999</v>
      </c>
      <c r="AF16">
        <v>9.1</v>
      </c>
      <c r="AG16" s="13">
        <v>1300</v>
      </c>
      <c r="AH16">
        <f t="shared" si="8"/>
        <v>5.9160000000000004</v>
      </c>
      <c r="AI16">
        <f t="shared" si="0"/>
        <v>6.37</v>
      </c>
      <c r="AJ16">
        <v>14098.805000000008</v>
      </c>
    </row>
    <row r="17" spans="10:33">
      <c r="J17">
        <f t="shared" si="2"/>
        <v>18.901</v>
      </c>
      <c r="K17">
        <v>19.8</v>
      </c>
      <c r="L17" s="13">
        <v>8000</v>
      </c>
      <c r="Q17">
        <v>9.5549999999999997</v>
      </c>
      <c r="R17" s="13">
        <v>13000</v>
      </c>
      <c r="T17">
        <v>9.5549999999999997</v>
      </c>
      <c r="U17" s="13">
        <v>13000</v>
      </c>
      <c r="X17" s="13"/>
      <c r="Z17">
        <v>9.5549999999999997</v>
      </c>
      <c r="AA17" s="13">
        <v>13000</v>
      </c>
      <c r="AC17">
        <v>9.5549999999999997</v>
      </c>
      <c r="AD17" s="13">
        <v>13000</v>
      </c>
      <c r="AF17">
        <v>9.5549999999999997</v>
      </c>
      <c r="AG17" s="13"/>
    </row>
    <row r="18" spans="10:33">
      <c r="Q18">
        <v>10.01</v>
      </c>
      <c r="R18" s="13">
        <v>13000</v>
      </c>
      <c r="T18">
        <v>10.01</v>
      </c>
      <c r="U18" s="13">
        <v>13000</v>
      </c>
      <c r="Z18">
        <v>10.01</v>
      </c>
      <c r="AA18" s="13">
        <v>13000</v>
      </c>
      <c r="AC18">
        <v>10.01</v>
      </c>
      <c r="AD18" s="13">
        <v>13000</v>
      </c>
      <c r="AF18">
        <v>10.01</v>
      </c>
    </row>
    <row r="19" spans="10:33">
      <c r="Q19">
        <v>10.465</v>
      </c>
      <c r="R19" s="13">
        <v>13000</v>
      </c>
      <c r="T19">
        <v>10.465</v>
      </c>
      <c r="U19" s="13">
        <v>13000</v>
      </c>
      <c r="Z19">
        <v>10.465</v>
      </c>
      <c r="AA19" s="13">
        <v>13000</v>
      </c>
      <c r="AC19">
        <v>10.465</v>
      </c>
      <c r="AD19" s="13">
        <v>13000</v>
      </c>
      <c r="AF19">
        <v>10.465</v>
      </c>
    </row>
    <row r="20" spans="10:33">
      <c r="Q20">
        <v>10.92</v>
      </c>
      <c r="R20" s="13">
        <v>13000</v>
      </c>
      <c r="T20">
        <v>10.92</v>
      </c>
      <c r="U20" s="13">
        <v>13000</v>
      </c>
      <c r="Z20">
        <v>10.92</v>
      </c>
      <c r="AA20" s="13">
        <v>13000</v>
      </c>
      <c r="AC20">
        <v>10.92</v>
      </c>
      <c r="AD20" s="13">
        <v>13000</v>
      </c>
      <c r="AF20">
        <v>10.92</v>
      </c>
    </row>
    <row r="21" spans="10:33">
      <c r="Q21">
        <v>11.375</v>
      </c>
      <c r="R21" s="13">
        <v>13000</v>
      </c>
      <c r="T21">
        <v>11.375</v>
      </c>
      <c r="U21" s="13">
        <v>13000</v>
      </c>
      <c r="Z21">
        <v>11.375</v>
      </c>
      <c r="AA21" s="13">
        <v>13000</v>
      </c>
      <c r="AC21">
        <v>11.375</v>
      </c>
      <c r="AD21" s="13">
        <v>13000</v>
      </c>
      <c r="AF21">
        <v>11.375</v>
      </c>
    </row>
    <row r="22" spans="10:33">
      <c r="Q22">
        <v>11.83</v>
      </c>
      <c r="R22" s="13">
        <v>13000</v>
      </c>
      <c r="T22">
        <v>11.83</v>
      </c>
      <c r="U22" s="13">
        <v>13000</v>
      </c>
      <c r="Z22">
        <v>11.83</v>
      </c>
      <c r="AA22" s="13">
        <v>13000</v>
      </c>
      <c r="AC22">
        <v>11.83</v>
      </c>
      <c r="AD22" s="13">
        <v>13000</v>
      </c>
      <c r="AF22">
        <v>11.83</v>
      </c>
    </row>
    <row r="23" spans="10:33">
      <c r="Q23">
        <v>12.285</v>
      </c>
      <c r="R23" s="13">
        <v>13000</v>
      </c>
      <c r="T23">
        <v>12.285</v>
      </c>
      <c r="U23" s="13">
        <v>13000</v>
      </c>
      <c r="Z23">
        <v>12.285</v>
      </c>
      <c r="AA23" s="13">
        <v>13000</v>
      </c>
      <c r="AC23">
        <v>12.285</v>
      </c>
      <c r="AD23" s="13">
        <v>13000</v>
      </c>
      <c r="AF23">
        <v>12.285</v>
      </c>
    </row>
    <row r="24" spans="10:33">
      <c r="Q24">
        <v>12.74</v>
      </c>
      <c r="R24" s="13">
        <v>13000</v>
      </c>
      <c r="T24">
        <v>12.74</v>
      </c>
      <c r="U24" s="13">
        <v>13000</v>
      </c>
      <c r="Z24">
        <v>12.74</v>
      </c>
      <c r="AA24" s="13">
        <v>13000</v>
      </c>
      <c r="AC24">
        <v>12.74</v>
      </c>
      <c r="AD24" s="13">
        <v>13000</v>
      </c>
      <c r="AF24">
        <v>12.74</v>
      </c>
    </row>
    <row r="25" spans="10:33">
      <c r="Q25">
        <v>13.195</v>
      </c>
      <c r="R25" s="13">
        <v>13000</v>
      </c>
      <c r="T25">
        <v>13.195</v>
      </c>
      <c r="U25" s="13">
        <v>13000</v>
      </c>
      <c r="Z25">
        <v>13.195</v>
      </c>
      <c r="AA25" s="13">
        <v>13000</v>
      </c>
      <c r="AC25">
        <v>13.195</v>
      </c>
      <c r="AD25" s="13">
        <v>13000</v>
      </c>
      <c r="AF25">
        <v>13.195</v>
      </c>
    </row>
    <row r="26" spans="10:33">
      <c r="Q26">
        <v>13.65</v>
      </c>
      <c r="R26" s="13">
        <v>13000</v>
      </c>
      <c r="T26">
        <v>13.65</v>
      </c>
      <c r="U26" s="13">
        <v>13000</v>
      </c>
      <c r="Z26">
        <v>13.65</v>
      </c>
      <c r="AA26" s="13">
        <v>13000</v>
      </c>
      <c r="AC26">
        <v>13.65</v>
      </c>
      <c r="AD26" s="13">
        <v>13000</v>
      </c>
      <c r="AF26">
        <v>13.65</v>
      </c>
    </row>
    <row r="27" spans="10:33">
      <c r="Q27">
        <v>14.105</v>
      </c>
      <c r="R27" s="13">
        <v>13000</v>
      </c>
      <c r="T27">
        <v>14.105</v>
      </c>
      <c r="U27" s="13">
        <v>13000</v>
      </c>
      <c r="Z27">
        <v>14.105</v>
      </c>
      <c r="AA27" s="13">
        <v>13000</v>
      </c>
      <c r="AC27">
        <v>14.105</v>
      </c>
      <c r="AD27" s="13">
        <v>13000</v>
      </c>
      <c r="AF27">
        <v>14.105</v>
      </c>
    </row>
    <row r="28" spans="10:33">
      <c r="Q28">
        <v>14.56</v>
      </c>
      <c r="R28" s="13">
        <v>13000</v>
      </c>
      <c r="T28">
        <v>14.56</v>
      </c>
      <c r="U28" s="13">
        <v>13000</v>
      </c>
      <c r="Z28">
        <v>14.56</v>
      </c>
      <c r="AA28" s="13">
        <v>13000</v>
      </c>
      <c r="AC28">
        <v>14.56</v>
      </c>
      <c r="AD28" s="13">
        <v>13000</v>
      </c>
      <c r="AF28">
        <v>14.56</v>
      </c>
    </row>
    <row r="29" spans="10:33">
      <c r="Q29">
        <v>15.015000000000001</v>
      </c>
      <c r="R29" s="13">
        <v>13000</v>
      </c>
      <c r="T29">
        <v>15.015000000000001</v>
      </c>
      <c r="U29" s="13">
        <v>13000</v>
      </c>
      <c r="Z29">
        <v>15.015000000000001</v>
      </c>
      <c r="AA29" s="13">
        <v>13000</v>
      </c>
      <c r="AC29">
        <v>15.015000000000001</v>
      </c>
      <c r="AD29" s="13">
        <v>13000</v>
      </c>
      <c r="AF29">
        <v>15.015000000000001</v>
      </c>
    </row>
    <row r="30" spans="10:33">
      <c r="Q30">
        <v>15.47</v>
      </c>
      <c r="R30" s="13">
        <v>13000</v>
      </c>
      <c r="T30">
        <v>15.47</v>
      </c>
      <c r="U30" s="13">
        <v>13000</v>
      </c>
      <c r="Z30">
        <v>15.47</v>
      </c>
      <c r="AA30" s="13">
        <v>13000</v>
      </c>
      <c r="AC30">
        <v>15.47</v>
      </c>
      <c r="AD30" s="13">
        <v>13000</v>
      </c>
      <c r="AF30">
        <v>15.47</v>
      </c>
    </row>
    <row r="31" spans="10:33">
      <c r="Q31">
        <v>15.925000000000001</v>
      </c>
      <c r="R31" s="13">
        <v>13000</v>
      </c>
      <c r="T31">
        <v>15.925000000000001</v>
      </c>
      <c r="U31" s="13">
        <v>13000</v>
      </c>
      <c r="Z31">
        <v>15.925000000000001</v>
      </c>
      <c r="AA31" s="13">
        <v>13000</v>
      </c>
      <c r="AC31">
        <v>15.925000000000001</v>
      </c>
      <c r="AD31" s="13">
        <v>13000</v>
      </c>
      <c r="AF31">
        <v>15.925000000000001</v>
      </c>
    </row>
    <row r="32" spans="10:33">
      <c r="Q32">
        <v>16.38</v>
      </c>
      <c r="R32" s="13">
        <v>13000</v>
      </c>
      <c r="T32">
        <v>16.38</v>
      </c>
      <c r="U32" s="13">
        <v>13000</v>
      </c>
      <c r="Z32">
        <v>16.38</v>
      </c>
      <c r="AA32" s="13">
        <v>13000</v>
      </c>
      <c r="AC32">
        <v>16.38</v>
      </c>
      <c r="AD32" s="13">
        <v>13000</v>
      </c>
      <c r="AF32">
        <v>16.38</v>
      </c>
    </row>
    <row r="33" spans="17:32">
      <c r="Q33">
        <v>16.834999999999997</v>
      </c>
      <c r="R33" s="13">
        <v>13000</v>
      </c>
      <c r="T33">
        <v>16.834999999999997</v>
      </c>
      <c r="U33" s="13">
        <v>13000</v>
      </c>
      <c r="Z33">
        <v>16.834999999999997</v>
      </c>
      <c r="AA33" s="13">
        <v>13000</v>
      </c>
      <c r="AC33">
        <v>16.834999999999997</v>
      </c>
      <c r="AD33" s="13">
        <v>13000</v>
      </c>
      <c r="AF33">
        <v>16.834999999999997</v>
      </c>
    </row>
    <row r="34" spans="17:32">
      <c r="Q34">
        <v>17.289999999999996</v>
      </c>
      <c r="R34" s="13">
        <v>13000</v>
      </c>
      <c r="T34">
        <v>17.289999999999996</v>
      </c>
      <c r="U34" s="13">
        <v>13000</v>
      </c>
      <c r="Z34">
        <v>17.289999999999996</v>
      </c>
      <c r="AA34" s="13">
        <v>13000</v>
      </c>
      <c r="AC34">
        <v>17.289999999999996</v>
      </c>
      <c r="AD34" s="13">
        <v>13000</v>
      </c>
      <c r="AF34">
        <v>17.289999999999996</v>
      </c>
    </row>
    <row r="35" spans="17:32">
      <c r="Q35">
        <v>17.744999999999994</v>
      </c>
      <c r="R35" s="13">
        <v>13000</v>
      </c>
      <c r="T35">
        <v>17.744999999999994</v>
      </c>
      <c r="U35" s="13">
        <v>13000</v>
      </c>
      <c r="Z35">
        <v>17.744999999999994</v>
      </c>
      <c r="AA35" s="13">
        <v>13000</v>
      </c>
      <c r="AC35">
        <v>17.744999999999994</v>
      </c>
      <c r="AD35" s="13">
        <v>13000</v>
      </c>
      <c r="AF35">
        <v>17.744999999999994</v>
      </c>
    </row>
    <row r="36" spans="17:32">
      <c r="Q36">
        <v>18.199999999999992</v>
      </c>
      <c r="R36" s="13">
        <v>13000</v>
      </c>
      <c r="T36">
        <v>18.199999999999992</v>
      </c>
      <c r="U36" s="13">
        <v>13000</v>
      </c>
      <c r="Z36">
        <v>18.199999999999992</v>
      </c>
      <c r="AA36" s="13">
        <v>13000</v>
      </c>
      <c r="AC36">
        <v>18.199999999999992</v>
      </c>
      <c r="AD36" s="13">
        <v>13000</v>
      </c>
      <c r="AF36">
        <v>18.199999999999992</v>
      </c>
    </row>
    <row r="37" spans="17:32">
      <c r="Q37">
        <v>18.65499999999999</v>
      </c>
      <c r="R37" s="13">
        <v>13000</v>
      </c>
      <c r="T37">
        <v>18.65499999999999</v>
      </c>
      <c r="U37" s="13">
        <v>13000</v>
      </c>
      <c r="Z37">
        <v>18.65499999999999</v>
      </c>
      <c r="AA37" s="13">
        <v>13000</v>
      </c>
      <c r="AC37">
        <v>18.65499999999999</v>
      </c>
      <c r="AD37" s="13">
        <v>13000</v>
      </c>
      <c r="AF37">
        <v>18.65499999999999</v>
      </c>
    </row>
    <row r="38" spans="17:32">
      <c r="Q38">
        <v>19.109999999999989</v>
      </c>
      <c r="R38" s="13">
        <v>13000</v>
      </c>
      <c r="T38">
        <v>19.109999999999989</v>
      </c>
      <c r="U38" s="13">
        <v>13000</v>
      </c>
      <c r="Z38">
        <v>19.109999999999989</v>
      </c>
      <c r="AA38" s="13">
        <v>13000</v>
      </c>
      <c r="AC38">
        <v>19.109999999999989</v>
      </c>
      <c r="AD38" s="13">
        <v>13000</v>
      </c>
      <c r="AF38">
        <v>19.109999999999989</v>
      </c>
    </row>
    <row r="39" spans="17:32">
      <c r="Q39">
        <v>19.564999999999987</v>
      </c>
      <c r="R39" s="13">
        <v>13000</v>
      </c>
      <c r="T39">
        <v>19.564999999999987</v>
      </c>
      <c r="U39" s="13">
        <v>13000</v>
      </c>
      <c r="Z39">
        <v>19.564999999999987</v>
      </c>
      <c r="AA39" s="13">
        <v>13000</v>
      </c>
      <c r="AC39">
        <v>19.564999999999987</v>
      </c>
      <c r="AD39" s="13">
        <v>13000</v>
      </c>
      <c r="AF39">
        <v>19.564999999999987</v>
      </c>
    </row>
    <row r="40" spans="17:32">
      <c r="Q40">
        <v>20.019999999999985</v>
      </c>
      <c r="R40" s="13">
        <v>13000</v>
      </c>
      <c r="T40">
        <v>20.019999999999985</v>
      </c>
      <c r="U40" s="13">
        <v>13000</v>
      </c>
      <c r="Z40">
        <v>20.019999999999985</v>
      </c>
      <c r="AA40" s="13">
        <v>13000</v>
      </c>
      <c r="AC40">
        <v>20.019999999999985</v>
      </c>
      <c r="AD40" s="13">
        <v>13000</v>
      </c>
      <c r="AF40">
        <v>20.019999999999985</v>
      </c>
    </row>
    <row r="41" spans="17:32">
      <c r="Q41">
        <v>20.474999999999984</v>
      </c>
      <c r="R41" s="13">
        <v>13000</v>
      </c>
      <c r="T41">
        <v>20.474999999999984</v>
      </c>
      <c r="U41" s="13">
        <v>13000</v>
      </c>
      <c r="Z41">
        <v>20.474999999999984</v>
      </c>
      <c r="AA41" s="13">
        <v>13000</v>
      </c>
      <c r="AC41">
        <v>20.474999999999984</v>
      </c>
      <c r="AD41" s="13">
        <v>13000</v>
      </c>
      <c r="AF41">
        <v>20.474999999999984</v>
      </c>
    </row>
    <row r="42" spans="17:32">
      <c r="Q42">
        <v>20.929999999999982</v>
      </c>
      <c r="R42" s="13">
        <v>13000</v>
      </c>
      <c r="T42">
        <v>20.929999999999982</v>
      </c>
      <c r="U42" s="13">
        <v>13000</v>
      </c>
      <c r="Z42">
        <v>20.929999999999982</v>
      </c>
      <c r="AA42" s="13">
        <v>13000</v>
      </c>
      <c r="AC42">
        <v>20.929999999999982</v>
      </c>
      <c r="AD42" s="13">
        <v>13000</v>
      </c>
      <c r="AF42">
        <v>20.929999999999982</v>
      </c>
    </row>
    <row r="43" spans="17:32">
      <c r="Q43">
        <v>21.38499999999998</v>
      </c>
      <c r="R43" s="13">
        <v>13000</v>
      </c>
      <c r="T43">
        <v>21.38499999999998</v>
      </c>
      <c r="U43" s="13">
        <v>13000</v>
      </c>
      <c r="Z43">
        <v>21.38499999999998</v>
      </c>
      <c r="AA43" s="13">
        <v>13000</v>
      </c>
      <c r="AC43">
        <v>21.38499999999998</v>
      </c>
      <c r="AD43" s="13">
        <v>13000</v>
      </c>
      <c r="AF43">
        <v>21.38499999999998</v>
      </c>
    </row>
    <row r="44" spans="17:32">
      <c r="Q44">
        <v>21.839999999999979</v>
      </c>
      <c r="R44" s="13">
        <v>13000</v>
      </c>
      <c r="T44">
        <v>21.839999999999979</v>
      </c>
      <c r="U44" s="13">
        <v>13000</v>
      </c>
      <c r="Z44">
        <v>21.839999999999979</v>
      </c>
      <c r="AA44" s="13">
        <v>13000</v>
      </c>
      <c r="AC44">
        <v>21.839999999999979</v>
      </c>
      <c r="AD44" s="13">
        <v>13000</v>
      </c>
      <c r="AF44">
        <v>21.839999999999979</v>
      </c>
    </row>
    <row r="45" spans="17:32">
      <c r="Q45">
        <v>22.294999999999977</v>
      </c>
      <c r="R45" s="13">
        <v>13000</v>
      </c>
      <c r="T45">
        <v>22.294999999999977</v>
      </c>
      <c r="U45" s="13">
        <v>13000</v>
      </c>
      <c r="Z45">
        <v>22.294999999999977</v>
      </c>
      <c r="AA45" s="13">
        <v>13000</v>
      </c>
      <c r="AC45">
        <v>22.294999999999977</v>
      </c>
      <c r="AD45" s="13">
        <v>13000</v>
      </c>
      <c r="AF45">
        <v>22.294999999999977</v>
      </c>
    </row>
    <row r="46" spans="17:32">
      <c r="Q46">
        <v>22.749999999999975</v>
      </c>
      <c r="R46" s="13">
        <v>13000</v>
      </c>
      <c r="T46">
        <v>22.749999999999975</v>
      </c>
      <c r="U46" s="13">
        <v>13000</v>
      </c>
      <c r="Z46">
        <v>22.749999999999975</v>
      </c>
      <c r="AA46" s="13">
        <v>13000</v>
      </c>
      <c r="AC46">
        <v>22.749999999999975</v>
      </c>
      <c r="AD46" s="13">
        <v>13000</v>
      </c>
      <c r="AF46">
        <v>22.749999999999975</v>
      </c>
    </row>
    <row r="47" spans="17:32">
      <c r="Q47">
        <v>23.204999999999973</v>
      </c>
      <c r="R47" s="13">
        <v>13000</v>
      </c>
      <c r="T47">
        <v>23.204999999999973</v>
      </c>
      <c r="U47" s="13">
        <v>13000</v>
      </c>
      <c r="Z47">
        <v>23.204999999999973</v>
      </c>
      <c r="AA47" s="13">
        <v>13000</v>
      </c>
      <c r="AC47">
        <v>23.204999999999973</v>
      </c>
      <c r="AD47" s="13">
        <v>13000</v>
      </c>
      <c r="AF47">
        <v>23.204999999999973</v>
      </c>
    </row>
    <row r="48" spans="17:32">
      <c r="Q48">
        <v>23.659999999999972</v>
      </c>
      <c r="R48" s="13">
        <v>13000</v>
      </c>
      <c r="T48">
        <v>23.659999999999972</v>
      </c>
      <c r="U48" s="13">
        <v>13000</v>
      </c>
      <c r="Z48">
        <v>23.659999999999972</v>
      </c>
      <c r="AA48" s="13">
        <v>13000</v>
      </c>
      <c r="AC48">
        <v>23.659999999999972</v>
      </c>
      <c r="AD48" s="13">
        <v>13000</v>
      </c>
      <c r="AF48">
        <v>23.659999999999972</v>
      </c>
    </row>
    <row r="49" spans="17:32">
      <c r="Q49">
        <v>24.11499999999997</v>
      </c>
      <c r="R49" s="13">
        <v>13000</v>
      </c>
      <c r="T49">
        <v>24.11499999999997</v>
      </c>
      <c r="U49" s="13">
        <v>13000</v>
      </c>
      <c r="Z49">
        <v>24.11499999999997</v>
      </c>
      <c r="AA49" s="13">
        <v>13000</v>
      </c>
      <c r="AC49">
        <v>24.11499999999997</v>
      </c>
      <c r="AD49" s="13">
        <v>13000</v>
      </c>
      <c r="AF49">
        <v>24.11499999999997</v>
      </c>
    </row>
    <row r="50" spans="17:32">
      <c r="Q50">
        <v>24.569999999999968</v>
      </c>
      <c r="R50" s="13">
        <v>13000</v>
      </c>
      <c r="T50">
        <v>24.569999999999968</v>
      </c>
      <c r="U50" s="13">
        <v>13000</v>
      </c>
      <c r="Y50" s="51"/>
      <c r="Z50">
        <v>24.569999999999968</v>
      </c>
      <c r="AA50" s="13">
        <v>13000</v>
      </c>
      <c r="AC50">
        <v>24.569999999999968</v>
      </c>
      <c r="AD50" s="13">
        <v>13000</v>
      </c>
      <c r="AF50">
        <v>24.569999999999968</v>
      </c>
    </row>
    <row r="51" spans="17:32">
      <c r="Q51">
        <v>25.024999999999967</v>
      </c>
      <c r="R51" s="13">
        <v>13000</v>
      </c>
      <c r="T51">
        <v>25.024999999999967</v>
      </c>
      <c r="U51" s="13">
        <v>13000</v>
      </c>
      <c r="Z51">
        <v>25.024999999999967</v>
      </c>
      <c r="AA51" s="13">
        <v>13000</v>
      </c>
      <c r="AC51">
        <v>25.024999999999967</v>
      </c>
      <c r="AD51" s="13">
        <v>13000</v>
      </c>
      <c r="AF51">
        <v>25.024999999999967</v>
      </c>
    </row>
    <row r="52" spans="17:32">
      <c r="Q52">
        <v>25.479999999999965</v>
      </c>
      <c r="R52" s="13">
        <v>13000</v>
      </c>
      <c r="T52">
        <v>25.479999999999965</v>
      </c>
      <c r="U52" s="13">
        <v>13000</v>
      </c>
      <c r="Z52">
        <v>25.479999999999965</v>
      </c>
      <c r="AA52" s="13">
        <v>13000</v>
      </c>
      <c r="AC52">
        <v>25.479999999999965</v>
      </c>
      <c r="AD52" s="13">
        <v>13000</v>
      </c>
      <c r="AF52">
        <v>25.479999999999965</v>
      </c>
    </row>
    <row r="53" spans="17:32">
      <c r="Q53">
        <v>25.934999999999963</v>
      </c>
      <c r="R53" s="13">
        <v>13000</v>
      </c>
      <c r="T53">
        <v>25.934999999999963</v>
      </c>
      <c r="U53" s="13">
        <v>13000</v>
      </c>
      <c r="Z53">
        <v>25.934999999999963</v>
      </c>
      <c r="AA53" s="13">
        <v>13000</v>
      </c>
      <c r="AC53">
        <v>25.934999999999963</v>
      </c>
      <c r="AD53" s="13">
        <v>13000</v>
      </c>
      <c r="AF53">
        <v>25.934999999999963</v>
      </c>
    </row>
    <row r="54" spans="17:32">
      <c r="Q54">
        <v>26.389999999999961</v>
      </c>
      <c r="R54" s="13">
        <v>13000</v>
      </c>
      <c r="T54">
        <v>26.389999999999961</v>
      </c>
      <c r="U54" s="13">
        <v>13000</v>
      </c>
      <c r="Z54">
        <v>26.389999999999961</v>
      </c>
      <c r="AA54" s="13">
        <v>13000</v>
      </c>
      <c r="AC54">
        <v>26.389999999999961</v>
      </c>
      <c r="AD54" s="13">
        <v>13000</v>
      </c>
      <c r="AF54">
        <v>26.389999999999961</v>
      </c>
    </row>
    <row r="55" spans="17:32">
      <c r="Q55">
        <v>26.84499999999996</v>
      </c>
      <c r="R55" s="13">
        <v>13000</v>
      </c>
      <c r="T55">
        <v>26.84499999999996</v>
      </c>
      <c r="U55" s="13">
        <v>13000</v>
      </c>
      <c r="Z55">
        <v>26.84499999999996</v>
      </c>
      <c r="AA55" s="13">
        <v>13000</v>
      </c>
      <c r="AC55">
        <v>26.84499999999996</v>
      </c>
      <c r="AD55" s="13">
        <v>13000</v>
      </c>
      <c r="AF55">
        <v>26.84499999999996</v>
      </c>
    </row>
    <row r="56" spans="17:32">
      <c r="Q56">
        <v>27.299999999999958</v>
      </c>
      <c r="R56" s="13">
        <v>13000</v>
      </c>
      <c r="T56">
        <v>27.299999999999958</v>
      </c>
      <c r="U56" s="13">
        <v>13000</v>
      </c>
      <c r="Z56">
        <v>27.299999999999958</v>
      </c>
      <c r="AA56" s="13">
        <v>13000</v>
      </c>
      <c r="AC56">
        <v>27.299999999999958</v>
      </c>
      <c r="AD56" s="13">
        <v>13000</v>
      </c>
      <c r="AF56">
        <v>27.299999999999958</v>
      </c>
    </row>
    <row r="57" spans="17:32">
      <c r="Q57">
        <v>27.754999999999956</v>
      </c>
      <c r="R57" s="13">
        <v>13000</v>
      </c>
      <c r="T57">
        <v>27.754999999999956</v>
      </c>
      <c r="U57" s="13">
        <v>13000</v>
      </c>
      <c r="Z57">
        <v>27.754999999999956</v>
      </c>
      <c r="AA57" s="13">
        <v>13000</v>
      </c>
      <c r="AC57">
        <v>27.754999999999956</v>
      </c>
      <c r="AD57" s="13">
        <v>13000</v>
      </c>
      <c r="AF57">
        <v>27.754999999999956</v>
      </c>
    </row>
    <row r="58" spans="17:32">
      <c r="Q58">
        <v>28.209999999999955</v>
      </c>
      <c r="R58" s="13">
        <v>13000</v>
      </c>
      <c r="T58">
        <v>28.209999999999955</v>
      </c>
      <c r="U58" s="13">
        <v>13000</v>
      </c>
      <c r="Z58">
        <v>28.209999999999955</v>
      </c>
      <c r="AA58" s="13">
        <v>13000</v>
      </c>
      <c r="AC58">
        <v>28.209999999999955</v>
      </c>
      <c r="AD58" s="13">
        <v>13000</v>
      </c>
      <c r="AF58">
        <v>28.209999999999955</v>
      </c>
    </row>
    <row r="59" spans="17:32">
      <c r="Q59">
        <v>28.664999999999953</v>
      </c>
      <c r="R59" s="13">
        <v>13000</v>
      </c>
      <c r="T59">
        <v>28.664999999999953</v>
      </c>
      <c r="U59" s="13">
        <v>13000</v>
      </c>
      <c r="Z59">
        <v>28.664999999999953</v>
      </c>
      <c r="AA59" s="13">
        <v>13000</v>
      </c>
      <c r="AC59">
        <v>28.664999999999953</v>
      </c>
      <c r="AD59" s="13">
        <v>13000</v>
      </c>
      <c r="AF59">
        <v>28.664999999999953</v>
      </c>
    </row>
    <row r="60" spans="17:32">
      <c r="Q60">
        <v>29.119999999999951</v>
      </c>
      <c r="R60" s="13">
        <v>13000</v>
      </c>
      <c r="T60">
        <v>29.119999999999951</v>
      </c>
      <c r="U60" s="13">
        <v>13000</v>
      </c>
      <c r="Z60">
        <v>29.119999999999951</v>
      </c>
      <c r="AA60" s="13">
        <v>13000</v>
      </c>
      <c r="AC60">
        <v>29.119999999999951</v>
      </c>
      <c r="AD60" s="13">
        <v>13000</v>
      </c>
      <c r="AF60">
        <v>29.119999999999951</v>
      </c>
    </row>
    <row r="61" spans="17:32">
      <c r="Q61">
        <v>29.57499999999995</v>
      </c>
      <c r="R61" s="13">
        <v>13000</v>
      </c>
      <c r="T61">
        <v>29.57499999999995</v>
      </c>
      <c r="U61" s="13">
        <v>13000</v>
      </c>
      <c r="Z61">
        <v>29.57499999999995</v>
      </c>
      <c r="AA61" s="13">
        <v>13000</v>
      </c>
      <c r="AC61">
        <v>29.57499999999995</v>
      </c>
      <c r="AD61" s="13">
        <v>13000</v>
      </c>
      <c r="AF61">
        <v>29.57499999999995</v>
      </c>
    </row>
    <row r="62" spans="17:32">
      <c r="Q62">
        <v>30.029999999999948</v>
      </c>
      <c r="R62" s="13">
        <v>13000</v>
      </c>
      <c r="T62">
        <v>30.029999999999948</v>
      </c>
      <c r="U62" s="13">
        <v>13000</v>
      </c>
      <c r="Z62">
        <v>30.029999999999948</v>
      </c>
      <c r="AA62" s="13">
        <v>13000</v>
      </c>
      <c r="AC62">
        <v>30.029999999999948</v>
      </c>
      <c r="AD62" s="13">
        <v>13000</v>
      </c>
      <c r="AF62">
        <v>30.029999999999948</v>
      </c>
    </row>
    <row r="63" spans="17:32">
      <c r="T63">
        <v>30.484999999999946</v>
      </c>
      <c r="U63" s="13">
        <v>13000</v>
      </c>
    </row>
    <row r="64" spans="17:32">
      <c r="T64">
        <v>30.939999999999944</v>
      </c>
      <c r="U64" s="13">
        <v>13000</v>
      </c>
    </row>
    <row r="65" spans="20:21">
      <c r="T65">
        <v>31.394999999999943</v>
      </c>
      <c r="U65" s="13">
        <v>13000</v>
      </c>
    </row>
    <row r="66" spans="20:21">
      <c r="T66">
        <v>31.849999999999941</v>
      </c>
      <c r="U66" s="13">
        <v>13000</v>
      </c>
    </row>
    <row r="67" spans="20:21">
      <c r="T67">
        <v>32.304999999999943</v>
      </c>
      <c r="U67" s="13">
        <v>13000</v>
      </c>
    </row>
    <row r="68" spans="20:21">
      <c r="T68">
        <v>32.759999999999941</v>
      </c>
      <c r="U68" s="13">
        <v>13000</v>
      </c>
    </row>
    <row r="69" spans="20:21">
      <c r="T69">
        <v>33.214999999999939</v>
      </c>
      <c r="U69" s="13">
        <v>13000</v>
      </c>
    </row>
    <row r="70" spans="20:21">
      <c r="T70">
        <v>33.669999999999938</v>
      </c>
      <c r="U70" s="13">
        <v>13000</v>
      </c>
    </row>
    <row r="71" spans="20:21">
      <c r="T71">
        <v>34.124999999999936</v>
      </c>
      <c r="U71" s="13">
        <v>13000</v>
      </c>
    </row>
    <row r="72" spans="20:21">
      <c r="T72">
        <v>34.579999999999934</v>
      </c>
      <c r="U72" s="13">
        <v>13000</v>
      </c>
    </row>
    <row r="73" spans="20:21">
      <c r="T73">
        <v>35.034999999999933</v>
      </c>
      <c r="U73" s="13">
        <v>13000</v>
      </c>
    </row>
    <row r="74" spans="20:21">
      <c r="T74">
        <v>35.489999999999931</v>
      </c>
      <c r="U74" s="13">
        <v>13000</v>
      </c>
    </row>
    <row r="75" spans="20:21">
      <c r="T75">
        <v>35.944999999999929</v>
      </c>
      <c r="U75" s="13">
        <v>13000</v>
      </c>
    </row>
    <row r="76" spans="20:21">
      <c r="T76">
        <v>36.399999999999928</v>
      </c>
      <c r="U76" s="13">
        <v>13000</v>
      </c>
    </row>
    <row r="77" spans="20:21">
      <c r="T77">
        <v>36.854999999999926</v>
      </c>
      <c r="U77" s="13">
        <v>13000</v>
      </c>
    </row>
    <row r="78" spans="20:21">
      <c r="T78">
        <v>37.309999999999924</v>
      </c>
      <c r="U78" s="13">
        <v>13000</v>
      </c>
    </row>
    <row r="79" spans="20:21">
      <c r="T79">
        <v>37.764999999999922</v>
      </c>
      <c r="U79" s="13">
        <v>13000</v>
      </c>
    </row>
    <row r="80" spans="20:21">
      <c r="T80">
        <v>38.219999999999921</v>
      </c>
      <c r="U80" s="13">
        <v>13000</v>
      </c>
    </row>
    <row r="81" spans="20:21">
      <c r="T81">
        <v>38.674999999999919</v>
      </c>
      <c r="U81" s="13">
        <v>13000</v>
      </c>
    </row>
    <row r="82" spans="20:21">
      <c r="T82">
        <v>39.129999999999917</v>
      </c>
      <c r="U82" s="13">
        <v>13000</v>
      </c>
    </row>
    <row r="83" spans="20:21">
      <c r="T83">
        <v>39.584999999999916</v>
      </c>
      <c r="U83" s="13">
        <v>13000</v>
      </c>
    </row>
    <row r="84" spans="20:21">
      <c r="T84">
        <v>40.039999999999914</v>
      </c>
      <c r="U84" s="13">
        <v>13000</v>
      </c>
    </row>
    <row r="85" spans="20:21">
      <c r="T85">
        <v>40.494999999999912</v>
      </c>
      <c r="U85" s="13">
        <v>13000</v>
      </c>
    </row>
    <row r="86" spans="20:21">
      <c r="T86">
        <v>40.94999999999991</v>
      </c>
      <c r="U86" s="13">
        <v>13000</v>
      </c>
    </row>
    <row r="87" spans="20:21">
      <c r="T87">
        <v>41.404999999999909</v>
      </c>
      <c r="U87" s="13">
        <v>13000</v>
      </c>
    </row>
    <row r="88" spans="20:21">
      <c r="T88">
        <v>41.859999999999907</v>
      </c>
      <c r="U88" s="13">
        <v>13000</v>
      </c>
    </row>
    <row r="89" spans="20:21">
      <c r="T89">
        <v>42.314999999999905</v>
      </c>
      <c r="U89" s="13">
        <v>13000</v>
      </c>
    </row>
    <row r="90" spans="20:21">
      <c r="T90">
        <v>42.769999999999904</v>
      </c>
      <c r="U90" s="13">
        <v>13000</v>
      </c>
    </row>
    <row r="91" spans="20:21">
      <c r="T91">
        <v>43.224999999999902</v>
      </c>
      <c r="U91" s="13">
        <v>13000</v>
      </c>
    </row>
    <row r="92" spans="20:21">
      <c r="T92">
        <v>43.6799999999999</v>
      </c>
      <c r="U92" s="13">
        <v>13000</v>
      </c>
    </row>
    <row r="93" spans="20:21">
      <c r="T93">
        <v>44.134999999999899</v>
      </c>
      <c r="U93" s="13">
        <v>13000</v>
      </c>
    </row>
    <row r="94" spans="20:21">
      <c r="T94">
        <v>44.589999999999897</v>
      </c>
      <c r="U94" s="13">
        <v>13000</v>
      </c>
    </row>
    <row r="95" spans="20:21">
      <c r="T95">
        <v>45.044999999999895</v>
      </c>
      <c r="U95" s="13">
        <v>13000</v>
      </c>
    </row>
    <row r="96" spans="20:21">
      <c r="T96">
        <v>45.499999999999893</v>
      </c>
      <c r="U96" s="13">
        <v>13000</v>
      </c>
    </row>
    <row r="97" spans="2:36">
      <c r="T97">
        <v>45.954999999999892</v>
      </c>
      <c r="U97" s="13">
        <v>13000</v>
      </c>
    </row>
    <row r="98" spans="2:36">
      <c r="T98">
        <v>46.40999999999989</v>
      </c>
      <c r="U98" s="13">
        <v>13000</v>
      </c>
    </row>
    <row r="99" spans="2:36">
      <c r="T99">
        <v>46.864999999999888</v>
      </c>
      <c r="U99" s="13">
        <v>13000</v>
      </c>
    </row>
    <row r="100" spans="2:36">
      <c r="T100">
        <v>47.319999999999887</v>
      </c>
      <c r="U100" s="13">
        <v>13000</v>
      </c>
    </row>
    <row r="101" spans="2:36">
      <c r="T101">
        <v>47.774999999999885</v>
      </c>
      <c r="U101" s="13">
        <v>13000</v>
      </c>
    </row>
    <row r="102" spans="2:36">
      <c r="T102">
        <v>48.229999999999883</v>
      </c>
      <c r="U102" s="13">
        <v>13000</v>
      </c>
    </row>
    <row r="103" spans="2:36">
      <c r="T103">
        <v>48.684999999999881</v>
      </c>
      <c r="U103" s="13">
        <v>13000</v>
      </c>
    </row>
    <row r="104" spans="2:36">
      <c r="T104">
        <v>49.13999999999988</v>
      </c>
      <c r="U104" s="13">
        <v>13000</v>
      </c>
    </row>
    <row r="105" spans="2:36">
      <c r="T105">
        <v>49.594999999999878</v>
      </c>
      <c r="U105" s="13">
        <v>13000</v>
      </c>
    </row>
    <row r="106" spans="2:36">
      <c r="T106">
        <v>50.049999999999876</v>
      </c>
      <c r="U106" s="13">
        <v>13000</v>
      </c>
    </row>
    <row r="107" spans="2:36">
      <c r="T107">
        <v>50.504999999999875</v>
      </c>
      <c r="U107" s="13">
        <v>13000</v>
      </c>
    </row>
    <row r="108" spans="2:36">
      <c r="R108" cm="1">
        <f t="array" ref="R108">_xlfn.IFS($A$1&lt;=Q3,R3,$A$1&lt;=Q4,R4,$A$1&lt;=Q5,R5,$A$1&lt;=Q6,R6,$A$1&lt;=Q7,R7,$A$1&lt;=Q8,R8,$A$1&lt;=Q9,R9,$A$1&lt;=Q10,R10,$A$1&lt;=Q11,R11,$A$1&lt;=Q12,R12,$A$1&lt;=Q13,R13,$A$1&lt;=Q14,R14,$A$1&lt;=Q15,R15,$A$1&lt;=Q16,R16)</f>
        <v>13000</v>
      </c>
      <c r="X108" t="e" cm="1">
        <f t="array" ref="X108">_xlfn.IFS($A$1&lt;=W3,X3,$A$1&lt;=W4,X4,$A$1&lt;=W5,X5,$A$1&lt;=W6,X6,$A$1&lt;=W7,X7,$A$1&lt;=W8,X8,$A$1&lt;=W9,X9,$A$1&lt;=W10,X10,$A$1&lt;=W11,X11,$A$1&lt;=W12,X12,$A$1&lt;=W13,X13,$A$1&lt;=W14,X14,$A$1&lt;=W15,X15,$A$1&lt;=W16,X16)</f>
        <v>#N/A</v>
      </c>
      <c r="AA108" cm="1">
        <f t="array" ref="AA108">_xlfn.IFS($A$1&lt;=Z3,AA3,$A$1&lt;=Z4,AA4,$A$1&lt;=Z5,AA5,$A$1&lt;=Z6,AA6,$A$1&lt;=Z7,AA7,$A$1&lt;=Z8,AA8,$A$1&lt;=Z9,AA9,$A$1&lt;=Z10,AA10,$A$1&lt;=Z11,AA11,$A$1&lt;=Z12,AA12,$A$1&lt;=Z13,AA13,$A$1&lt;=Z14,AA14,$A$1&lt;=Z15,AA15,$A$1&lt;=Z16,AA16)</f>
        <v>13000</v>
      </c>
      <c r="AD108" cm="1">
        <f t="array" ref="AD108">_xlfn.IFS($A$1&lt;=AC3,AD3,$A$1&lt;=AC4,AD4,$A$1&lt;=AC5,AD5,$A$1&lt;=AC6,AD6,$A$1&lt;=AC7,AD7,$A$1&lt;=AC8,AD8,$A$1&lt;=AC9,AD9,$A$1&lt;=AC10,AD10,$A$1&lt;=AC11,AD11,$A$1&lt;=AC12,AD12,$A$1&lt;=AC13,AD13,$A$1&lt;=AC14,AD14,$A$1&lt;=AC15,AD15,$A$1&lt;=AC16,AD16)</f>
        <v>13000</v>
      </c>
      <c r="AG108" cm="1">
        <f t="array" ref="AG108">_xlfn.IFS($A$1&lt;=AF3,AG3,$A$1&lt;=AF4,AG4,$A$1&lt;=AF5,AG5,$A$1&lt;=AF6,AG6,$A$1&lt;=AF7,AG7,$A$1&lt;=AF8,AG8,$A$1&lt;=AF9,AG9,$A$1&lt;=AF10,AG10,$A$1&lt;=AF11,AG11,$A$1&lt;=AF12,AG12,$A$1&lt;=AF13,AG13,$A$1&lt;=AF14,AG14,$A$1&lt;=AF15,AG15,$A$1&lt;=AF16,AG16)</f>
        <v>1300</v>
      </c>
      <c r="AJ108" cm="1">
        <f t="array" ref="AJ108">_xlfn.IFS($A$1&lt;=AI3,AJ3,$A$1&lt;=AI4,AJ4,$A$1&lt;=AI5,AJ5,$A$1&lt;=AI6,AJ6,$A$1&lt;=AI7,AJ7,$A$1&lt;=AI8,AJ8,$A$1&lt;=AI9,AJ9,$A$1&lt;=AI10,AJ10,$A$1&lt;=AI11,AJ11,$A$1&lt;=AI12,AJ12,$A$1&lt;=AI13,AJ13,$A$1&lt;=AI14,AJ14)</f>
        <v>10776.523500000003</v>
      </c>
    </row>
    <row r="109" spans="2:36">
      <c r="C109" s="13" cm="1">
        <f t="array" ref="C109">_xlfn.IFS($A$1&lt;=B3,C3,$A$1&lt;=B4,C4,$A$1&lt;=B5,C5,$A$1&lt;=B6,C6,$A$1&lt;=B7,C7,$A$1&lt;=B8,C8,$A$1&lt;=B9,C9,$A$1&lt;=B10,C10,$A$1&lt;=B11,C11,$A$1&lt;=B12,C12,$A$1&lt;=B13,C13,$A$1&lt;=B14,C14)</f>
        <v>4500</v>
      </c>
      <c r="F109" s="13" cm="1">
        <f t="array" ref="F109">_xlfn.IFS($A$1&lt;=E3,F3,$A$1&lt;=E4,F4,$A$1&lt;=E5,F5,$A$1&lt;=E6,F6,$A$1&lt;=E7,F7,$A$1&lt;=E8,F8,$A$1&lt;=E9,F9,$A$1&lt;=E10,F10,$A$1&lt;=E11,F11,$A$1&lt;=E12,F12,$A$1&lt;=E13,F13,$A$1&lt;=E14,F14)</f>
        <v>4500</v>
      </c>
      <c r="I109" s="13" cm="1">
        <f t="array" ref="I109">_xlfn.IFS($A$1&lt;=H3,I3,$A$1&lt;=H4,I4,$A$1&lt;=H5,I5,$A$1&lt;=H6,I6,$A$1&lt;=H7,I7,$A$1&lt;=H8,I8,$A$1&lt;=H9,I9,$A$1&lt;=H10,I10,$A$1&lt;=H11,I11,$A$1&lt;=H12,I12,$A$1&lt;=H13,I13,$A$1&lt;=H14,I14)</f>
        <v>5500</v>
      </c>
      <c r="L109" s="13" cm="1">
        <f t="array" ref="L109">_xlfn.IFS($A$1&lt;=K3,L3,$A$1&lt;=K4,L4,$A$1&lt;=K5,L5,$A$1&lt;=K6,L6,$A$1&lt;=K7,L7,$A$1&lt;=K8,L8,$A$1&lt;=K9,L9,$A$1&lt;=K10,L10,$A$1&lt;=K11,L11,$A$1&lt;=K12,L12,$A$1&lt;=K13,L13,$A$1&lt;=K14,L14,$A$1&lt;=K15,L15,$A$1&lt;=K16,L16,A1&lt;=K17,L17)</f>
        <v>5000</v>
      </c>
      <c r="O109" s="13" cm="1">
        <f t="array" ref="O109">_xlfn.IFS($A$1&lt;=N3,O3,$A$1&lt;=N4,O4,$A$1&lt;=N5,O5,$A$1&lt;=N6,O6,$A$1&lt;=N7,O7,$A$1&lt;=N8,O8,$A$1&lt;=N9,O9,$A$1&lt;=N10,O10,$A$1&lt;=N11,O11,$A$1&lt;=N12,O12,$A$1&lt;=N13,O13,$A$1&lt;=N14,O14)</f>
        <v>5500</v>
      </c>
      <c r="R109" s="13">
        <f>VLOOKUP(A1,Q3:R62,2,TRUE)</f>
        <v>13000</v>
      </c>
      <c r="U109" s="13">
        <f>VLOOKUP(A1,T3:U62,2,TRUE)</f>
        <v>13000</v>
      </c>
      <c r="X109" s="13">
        <f>VLOOKUP(A1,W3:X62,2,TRUE)</f>
        <v>13000</v>
      </c>
      <c r="AA109" s="13">
        <f>VLOOKUP(A1,Z3:AA62,2,TRUE)</f>
        <v>13000</v>
      </c>
      <c r="AD109" s="13">
        <f>VLOOKUP(A1,AC3:AD62,2,TRUE)</f>
        <v>13000</v>
      </c>
      <c r="AG109" s="13">
        <f>VLOOKUP(A1,AF3:AG62,2,TRUE)</f>
        <v>1300</v>
      </c>
      <c r="AJ109" s="13">
        <f>VLOOKUP(A1,AI3:AJ62,2,TRUE)</f>
        <v>10776.523500000003</v>
      </c>
    </row>
    <row r="110" spans="2:36">
      <c r="B110" t="s">
        <v>81</v>
      </c>
      <c r="C110" s="13" t="str">
        <f>Baza!$F$3</f>
        <v>Trina Vertex TSM-450</v>
      </c>
      <c r="E110" t="s">
        <v>81</v>
      </c>
      <c r="F110" s="13" t="s">
        <v>27</v>
      </c>
      <c r="H110" t="s">
        <v>82</v>
      </c>
      <c r="I110" s="13" t="str">
        <f>Baza!$F$3</f>
        <v>Trina Vertex TSM-450</v>
      </c>
      <c r="K110" t="s">
        <v>83</v>
      </c>
      <c r="L110" s="13" t="str">
        <f>Baza!$F$3</f>
        <v>Trina Vertex TSM-450</v>
      </c>
      <c r="N110" t="s">
        <v>83</v>
      </c>
      <c r="O110" s="13" t="s">
        <v>27</v>
      </c>
      <c r="Q110" t="s">
        <v>234</v>
      </c>
      <c r="R110" s="13" t="s">
        <v>244</v>
      </c>
      <c r="T110" t="s">
        <v>235</v>
      </c>
      <c r="U110" s="13" t="s">
        <v>244</v>
      </c>
      <c r="W110" t="s">
        <v>188</v>
      </c>
      <c r="X110" s="13" t="s">
        <v>244</v>
      </c>
      <c r="Z110" t="s">
        <v>236</v>
      </c>
      <c r="AA110" s="13" t="s">
        <v>244</v>
      </c>
      <c r="AC110" t="s">
        <v>237</v>
      </c>
      <c r="AD110" s="13" t="s">
        <v>244</v>
      </c>
      <c r="AF110" t="s">
        <v>233</v>
      </c>
      <c r="AG110" s="13" t="s">
        <v>244</v>
      </c>
      <c r="AI110" t="s">
        <v>83</v>
      </c>
      <c r="AJ110" s="13" t="s">
        <v>244</v>
      </c>
    </row>
    <row r="111" spans="2:36">
      <c r="B111">
        <f>IF(B110=Kalkulator!$D$12,'Marża PE'!C109,0)</f>
        <v>0</v>
      </c>
      <c r="C111" s="13">
        <f>IF(C110=Kalkulator!$D$16,'Marża PE'!B111,0)</f>
        <v>0</v>
      </c>
      <c r="E111">
        <f>IF(E110=Kalkulator!$D$12,'Marża PE'!F109,0)</f>
        <v>0</v>
      </c>
      <c r="F111" s="13">
        <f>IF(F110=Kalkulator!$D$16,'Marża PE'!E111,0)</f>
        <v>0</v>
      </c>
      <c r="H111">
        <f>IF(H110=Kalkulator!$D$12,'Marża PE'!I109,0)</f>
        <v>0</v>
      </c>
      <c r="I111" s="13">
        <f>IF(I110=Kalkulator!$D$16,'Marża PE'!H111,0)</f>
        <v>0</v>
      </c>
      <c r="K111" t="s">
        <v>83</v>
      </c>
      <c r="L111" s="13">
        <f>IF(L110=Kalkulator!$D$16,'Marża PE'!K111,0)</f>
        <v>0</v>
      </c>
      <c r="N111">
        <f>IF(N110=Kalkulator!$D$12,'Marża PE'!O109,0)</f>
        <v>0</v>
      </c>
      <c r="O111" s="13">
        <f>IF(O110=Kalkulator!$D$16,'Marża PE'!N111,0)</f>
        <v>0</v>
      </c>
      <c r="Q111">
        <f>IF(Q110=Kalkulator!$D$12,'Marża PE'!R109,0)</f>
        <v>13000</v>
      </c>
      <c r="R111" s="13">
        <f>IF(R110=Kalkulator!$D$16,'Marża PE'!Q111,0)</f>
        <v>13000</v>
      </c>
      <c r="T111">
        <f>IF(T110=Kalkulator!$D$12,'Marża PE'!U109,0)</f>
        <v>0</v>
      </c>
      <c r="U111" s="13">
        <f>IF(U110=Kalkulator!$D$16,'Marża PE'!T111,0)</f>
        <v>0</v>
      </c>
      <c r="W111">
        <f>IF(W110=Kalkulator!$D$12,'Marża PE'!X109,0)</f>
        <v>0</v>
      </c>
      <c r="X111" s="13">
        <f>IF(X110=Kalkulator!$D$16,'Marża PE'!W111,0)</f>
        <v>0</v>
      </c>
      <c r="Z111">
        <f>IF(Z110=Kalkulator!$D$12,'Marża PE'!AA109,0)</f>
        <v>0</v>
      </c>
      <c r="AA111" s="13">
        <f>IF(AA110=Kalkulator!$D$16,'Marża PE'!Z111,0)</f>
        <v>0</v>
      </c>
      <c r="AC111">
        <f>IF(AC110=Kalkulator!$D$12,'Marża PE'!AD109,0)</f>
        <v>0</v>
      </c>
      <c r="AD111" s="13">
        <f>IF(AD110=Kalkulator!$D$16,'Marża PE'!AC111,0)</f>
        <v>0</v>
      </c>
      <c r="AF111">
        <f>IF(AF110=Kalkulator!$D$12,'Marża PE'!AG109,0)</f>
        <v>0</v>
      </c>
      <c r="AG111" s="13">
        <f>IF(AG110=Kalkulator!$D$16,'Marża PE'!AF111,0)</f>
        <v>0</v>
      </c>
      <c r="AI111">
        <f>IF(AI110=Kalkulator!$D$12,'Marża PE'!AJ109,0)</f>
        <v>0</v>
      </c>
      <c r="AJ111" s="13">
        <f>IF(AJ110=Kalkulator!$D$16,'Marża PE'!AI111,0)</f>
        <v>0</v>
      </c>
    </row>
  </sheetData>
  <sheetProtection algorithmName="SHA-512" hashValue="t1qgprukjyskGzSiBdYfnEvsEmmCFk9viNZLkkCQz6LiUAY88Md5EC8MC/uWfp7+ShwUXxsiKvJN9/HRsojptQ==" saltValue="uVQa1I1dr//QJpObT9d/ng==" spinCount="100000" sheet="1" objects="1" scenarios="1"/>
  <mergeCells count="11">
    <mergeCell ref="AE2:AG2"/>
    <mergeCell ref="A2:C2"/>
    <mergeCell ref="D2:F2"/>
    <mergeCell ref="G2:I2"/>
    <mergeCell ref="J2:L2"/>
    <mergeCell ref="M2:O2"/>
    <mergeCell ref="P2:R2"/>
    <mergeCell ref="S2:U2"/>
    <mergeCell ref="V2:X2"/>
    <mergeCell ref="Y2:AA2"/>
    <mergeCell ref="AB2:AD2"/>
  </mergeCells>
  <conditionalFormatting sqref="A1:AK113">
    <cfRule type="expression" dxfId="3" priority="1">
      <formula>$Y$50&lt;&gt;-1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A86A3-F709-4160-8FE2-50FEF2DF03D0}">
  <sheetPr codeName="Arkusz7"/>
  <dimension ref="A1:Z50"/>
  <sheetViews>
    <sheetView topLeftCell="D1" workbookViewId="0">
      <selection activeCell="E8" sqref="E8"/>
    </sheetView>
  </sheetViews>
  <sheetFormatPr defaultRowHeight="14.4"/>
  <cols>
    <col min="1" max="1" width="10.5546875" bestFit="1" customWidth="1"/>
    <col min="2" max="2" width="12.21875" bestFit="1" customWidth="1"/>
    <col min="3" max="3" width="5" bestFit="1" customWidth="1"/>
    <col min="4" max="4" width="5.109375" bestFit="1" customWidth="1"/>
    <col min="5" max="5" width="22.77734375" bestFit="1" customWidth="1"/>
    <col min="6" max="6" width="10.5546875" bestFit="1" customWidth="1"/>
    <col min="7" max="8" width="5" bestFit="1" customWidth="1"/>
    <col min="9" max="9" width="5.109375" bestFit="1" customWidth="1"/>
    <col min="10" max="10" width="22.77734375" bestFit="1" customWidth="1"/>
    <col min="11" max="12" width="10.5546875" bestFit="1" customWidth="1"/>
    <col min="13" max="13" width="24.88671875" bestFit="1" customWidth="1"/>
    <col min="14" max="14" width="19" bestFit="1" customWidth="1"/>
    <col min="15" max="16" width="10.5546875" bestFit="1" customWidth="1"/>
    <col min="17" max="17" width="12.77734375" bestFit="1" customWidth="1"/>
  </cols>
  <sheetData>
    <row r="1" spans="1:17">
      <c r="A1" s="75" t="s">
        <v>187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</row>
    <row r="2" spans="1:17">
      <c r="A2" s="75" t="s">
        <v>188</v>
      </c>
      <c r="B2" s="75"/>
      <c r="C2" s="75"/>
      <c r="D2" s="75"/>
      <c r="E2" s="75"/>
      <c r="F2" s="75" t="s">
        <v>3</v>
      </c>
      <c r="G2" s="75"/>
      <c r="H2" s="75"/>
      <c r="I2" s="75"/>
      <c r="J2" s="75"/>
      <c r="K2" s="75" t="s">
        <v>111</v>
      </c>
      <c r="L2" s="75"/>
      <c r="O2" s="75" t="s">
        <v>207</v>
      </c>
      <c r="P2" s="75"/>
    </row>
    <row r="3" spans="1:17">
      <c r="A3" s="1" t="s">
        <v>189</v>
      </c>
      <c r="B3" t="s">
        <v>190</v>
      </c>
      <c r="C3" t="s">
        <v>13</v>
      </c>
      <c r="D3" t="s">
        <v>196</v>
      </c>
      <c r="E3" t="s">
        <v>195</v>
      </c>
      <c r="F3" s="1" t="s">
        <v>189</v>
      </c>
      <c r="G3" t="s">
        <v>192</v>
      </c>
      <c r="H3" t="s">
        <v>13</v>
      </c>
      <c r="I3" t="s">
        <v>196</v>
      </c>
      <c r="J3" t="s">
        <v>195</v>
      </c>
      <c r="K3" t="s">
        <v>205</v>
      </c>
      <c r="L3" t="s">
        <v>206</v>
      </c>
      <c r="M3" t="s">
        <v>226</v>
      </c>
      <c r="N3" t="s">
        <v>209</v>
      </c>
      <c r="O3" t="s">
        <v>208</v>
      </c>
      <c r="P3" t="s">
        <v>192</v>
      </c>
      <c r="Q3" t="s">
        <v>194</v>
      </c>
    </row>
    <row r="4" spans="1:17">
      <c r="A4" s="13">
        <v>15000</v>
      </c>
      <c r="B4" s="13">
        <f>Obliczenia!C27</f>
        <v>10000</v>
      </c>
      <c r="C4">
        <v>3000</v>
      </c>
      <c r="D4">
        <v>5000</v>
      </c>
      <c r="E4" s="13">
        <f>IF(3*D4&gt;A4,A4,3*D4)</f>
        <v>15000</v>
      </c>
      <c r="F4" s="13">
        <v>17000</v>
      </c>
      <c r="G4">
        <f>Obliczenia!C24</f>
        <v>6012</v>
      </c>
      <c r="H4">
        <f>Obliczenia!D24</f>
        <v>10.24</v>
      </c>
      <c r="I4">
        <v>6000</v>
      </c>
      <c r="J4">
        <f>IF(H4*I4&gt;F4,F4,H4*I4)</f>
        <v>17000</v>
      </c>
      <c r="K4" s="13">
        <f>Kalkulator!D36</f>
        <v>53040.165759999996</v>
      </c>
      <c r="L4" s="13">
        <f>Kalkulator!D37</f>
        <v>57283.379020799999</v>
      </c>
      <c r="M4" s="13" cm="1">
        <f t="array" ref="M4">IF(OR(Obliczenia!B2=Baza!A8,Obliczenia!B2=Baza!A9,Obliczenia!B2=Baza!A10),L4,L4-_xlfn.IFS(Obliczenia!D1&lt;=5,1000,Obliczenia!D1&lt;=7,1200,Obliczenia!D1&lt;=51,1400))</f>
        <v>56283.379020799999</v>
      </c>
      <c r="N4" s="13">
        <f>M4-30000</f>
        <v>26283.379020799999</v>
      </c>
      <c r="O4" s="13">
        <f>30000*50%</f>
        <v>15000</v>
      </c>
      <c r="P4" s="13">
        <f>IF(N4*50%&gt;F4,F4,N4*50%)</f>
        <v>13141.6895104</v>
      </c>
      <c r="Q4" s="13">
        <f>IF(OR(Obliczenia!B2=Baza!A7,Obliczenia!B2=Baza!A8),O4,IF(OR(Obliczenia!B2=Baza!A9,Obliczenia!B2=Baza!A10),IF(L4&gt;64000,32000,O4+P4),IF(L4&gt;64000,32000,L4/2)))</f>
        <v>28641.6895104</v>
      </c>
    </row>
    <row r="5" spans="1:17">
      <c r="M5" s="13" t="s">
        <v>90</v>
      </c>
      <c r="N5" s="13"/>
      <c r="O5" s="13"/>
      <c r="P5" s="13"/>
    </row>
    <row r="6" spans="1:17">
      <c r="D6" s="13"/>
      <c r="E6" s="13"/>
      <c r="M6" cm="1">
        <f t="array" ref="M6">_xlfn.IFS(Obliczenia!D1&lt;=5,1000,Obliczenia!D1&lt;=7,1200,Obliczenia!D1&lt;=51,1400)</f>
        <v>1000</v>
      </c>
      <c r="N6" s="13">
        <f>M4-30000</f>
        <v>26283.379020799999</v>
      </c>
    </row>
    <row r="7" spans="1:17">
      <c r="O7">
        <f>IF(L4&gt;64000,32000,O4+P4)</f>
        <v>28141.6895104</v>
      </c>
      <c r="Q7">
        <f>IF(OR(Obliczenia!B2=Baza!A7,Obliczenia!B2=Baza!A8),O4,IF(OR(Obliczenia!B2=Baza!A9,Obliczenia!B2=Baza!A10),IF(L4&gt;64000,32000,O4+P4),IF(L4&gt;64000,32000,O4+P4)))</f>
        <v>28141.6895104</v>
      </c>
    </row>
    <row r="50" spans="26:26">
      <c r="Z50" s="51"/>
    </row>
  </sheetData>
  <sheetProtection algorithmName="SHA-512" hashValue="ySNc2lsKXvT5/F6QHg+7mLWSrdcNCrTC8mp6iQ6TiKjQMxKFF7mZ1Q9BIxmYyp5w1TqS1WmyPJowpdP7j6pGZA==" saltValue="TurDjkjmgeMwUr+JIDgA0A==" spinCount="100000" sheet="1" objects="1" scenarios="1"/>
  <mergeCells count="5">
    <mergeCell ref="A1:Q1"/>
    <mergeCell ref="A2:E2"/>
    <mergeCell ref="F2:J2"/>
    <mergeCell ref="K2:L2"/>
    <mergeCell ref="O2:P2"/>
  </mergeCells>
  <conditionalFormatting sqref="A1:U13">
    <cfRule type="expression" dxfId="2" priority="1">
      <formula>$Z$50&lt;&gt;-1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8840E-08A1-46DC-9D38-78692984439A}">
  <sheetPr codeName="Arkusz9"/>
  <dimension ref="D2:E12"/>
  <sheetViews>
    <sheetView workbookViewId="0">
      <selection activeCell="D8" sqref="D8"/>
    </sheetView>
  </sheetViews>
  <sheetFormatPr defaultColWidth="8.77734375" defaultRowHeight="14.4"/>
  <cols>
    <col min="4" max="4" width="14.6640625" bestFit="1" customWidth="1"/>
  </cols>
  <sheetData>
    <row r="2" spans="4:5" ht="23.4">
      <c r="D2" s="59" t="s">
        <v>239</v>
      </c>
    </row>
    <row r="4" spans="4:5" ht="23.4">
      <c r="D4" s="59" t="s">
        <v>238</v>
      </c>
    </row>
    <row r="5" spans="4:5" ht="15" thickBot="1"/>
    <row r="6" spans="4:5" ht="18.600000000000001" thickBot="1">
      <c r="D6" s="60">
        <f>IF(Informator!$D$11="","",Dofinansowanie!Q4)</f>
        <v>28641.6895104</v>
      </c>
      <c r="E6" t="e">
        <f>IF(Informator!$D$11="","",IF(Kalkulator!$D$12=Baza!$A$3,#REF!,#REF!))</f>
        <v>#REF!</v>
      </c>
    </row>
    <row r="7" spans="4:5" ht="15" thickBot="1"/>
    <row r="8" spans="4:5" ht="18.600000000000001" thickBot="1">
      <c r="D8" s="60">
        <f>IF(Informator!$D$11="","",IF(ISTEXT(Informator!$D$6),Informator!$D$11*Kalkulator!$F$31,(Informator!$D$11-Informator!$D$6)*Kalkulator!$F$31))</f>
        <v>3437.0027412479999</v>
      </c>
    </row>
    <row r="9" spans="4:5" ht="15" thickBot="1"/>
    <row r="10" spans="4:5" ht="18.600000000000001" thickBot="1">
      <c r="D10" s="61">
        <f>IF(OR(Informator!$D$2="&lt;- Wybierz poprawny inwerter !",Informator!$D$4="&lt;- Zmień ilość faz !"),"",Obliczenia!$C$2)</f>
        <v>53040.165759999996</v>
      </c>
    </row>
    <row r="11" spans="4:5" ht="18.600000000000001" thickBot="1">
      <c r="D11" s="61">
        <f>IF($D$10="","",IF(Obliczenia!$I$3&lt;&gt;"",Obliczenia!$I$3,Obliczenia!$I$4))</f>
        <v>57283.379020799999</v>
      </c>
    </row>
    <row r="12" spans="4:5" ht="18">
      <c r="D12" s="61">
        <f>IF($D$11="","",IF(ISTEXT(Informator!$D$6),$D$11-Informator!$D$8,($D$11-Informator!$D$6-Informator!$D$8)))</f>
        <v>25204.686769151998</v>
      </c>
    </row>
  </sheetData>
  <sheetProtection algorithmName="SHA-512" hashValue="pZYg1UFBCoOsJGvVaJjoK8AaJ237+S6BU2vEEfgn/2x50drIBV/GVtgFHymd/c9g+b4urfvrJoNnc8IA/jWlFQ==" saltValue="0KF6z4mCnGUaWNyWpEbn6Q==" spinCount="100000" sheet="1" objects="1" scenarios="1"/>
  <conditionalFormatting sqref="D2">
    <cfRule type="containsText" dxfId="1" priority="2" operator="containsText" text="&lt;- Sprawdź wybrany inwerter">
      <formula>NOT(ISERROR(SEARCH("&lt;- Sprawdź wybrany inwerter",D2)))</formula>
    </cfRule>
  </conditionalFormatting>
  <conditionalFormatting sqref="D4">
    <cfRule type="containsText" dxfId="0" priority="1" operator="containsText" text="&lt;- Sprawdź wybrany inwerter !">
      <formula>NOT(ISERROR(SEARCH("&lt;- Sprawdź wybrany inwerter !",D4)))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Kalkulator</vt:lpstr>
      <vt:lpstr>Raty kredytowe</vt:lpstr>
      <vt:lpstr>Kalkulator!Obszar_wydruku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Rutkowski</dc:creator>
  <cp:lastModifiedBy>Eco Run</cp:lastModifiedBy>
  <cp:lastPrinted>2025-09-24T11:57:47Z</cp:lastPrinted>
  <dcterms:created xsi:type="dcterms:W3CDTF">2015-06-05T18:19:34Z</dcterms:created>
  <dcterms:modified xsi:type="dcterms:W3CDTF">2025-10-10T13:54:46Z</dcterms:modified>
</cp:coreProperties>
</file>